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weston\Documents\Budget\"/>
    </mc:Choice>
  </mc:AlternateContent>
  <xr:revisionPtr revIDLastSave="0" documentId="8_{650CA34B-D30A-4593-A49A-96EA3425322B}" xr6:coauthVersionLast="47" xr6:coauthVersionMax="47" xr10:uidLastSave="{00000000-0000-0000-0000-000000000000}"/>
  <bookViews>
    <workbookView xWindow="-110" yWindow="-110" windowWidth="19420" windowHeight="10420" activeTab="1" xr2:uid="{DAB0ADE9-CF8B-498F-872C-1C2CF880D856}"/>
  </bookViews>
  <sheets>
    <sheet name="Expenditures" sheetId="1" r:id="rId1"/>
    <sheet name="Revenues" sheetId="2" r:id="rId2"/>
  </sheets>
  <externalReferences>
    <externalReference r:id="rId3"/>
  </externalReferences>
  <definedNames>
    <definedName name="_xlnm.Print_Area" localSheetId="0">Expenditures!$A$1:$V$466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83" i="1" l="1"/>
  <c r="V43" i="1"/>
  <c r="V409" i="1" l="1"/>
  <c r="U31" i="2"/>
  <c r="V233" i="1"/>
  <c r="AB17" i="1" s="1"/>
  <c r="V235" i="1"/>
  <c r="V227" i="1"/>
  <c r="V338" i="1" l="1"/>
  <c r="U55" i="2"/>
  <c r="V339" i="1" s="1"/>
  <c r="V341" i="1" s="1"/>
  <c r="Q430" i="1"/>
  <c r="Q444" i="1"/>
  <c r="Q424" i="1"/>
  <c r="Q405" i="1"/>
  <c r="Q374" i="1"/>
  <c r="Q389" i="1"/>
  <c r="Q394" i="1" s="1"/>
  <c r="Q346" i="1"/>
  <c r="Q349" i="1" s="1"/>
  <c r="Q273" i="1"/>
  <c r="Q270" i="1"/>
  <c r="Q266" i="1"/>
  <c r="Q248" i="1"/>
  <c r="Q324" i="1"/>
  <c r="Q317" i="1"/>
  <c r="Q307" i="1"/>
  <c r="Q286" i="1"/>
  <c r="Q235" i="1"/>
  <c r="Q230" i="1"/>
  <c r="Q227" i="1"/>
  <c r="Q162" i="1"/>
  <c r="Q179" i="1"/>
  <c r="Q185" i="1"/>
  <c r="Q190" i="1"/>
  <c r="Q204" i="1"/>
  <c r="Q122" i="1"/>
  <c r="Q133" i="1"/>
  <c r="Q143" i="1"/>
  <c r="Q146" i="1"/>
  <c r="O146" i="1"/>
  <c r="Q446" i="1" l="1"/>
  <c r="Q449" i="1" s="1"/>
  <c r="Q275" i="1"/>
  <c r="Q237" i="1"/>
  <c r="Q192" i="1"/>
  <c r="Q326" i="1"/>
  <c r="Q148" i="1"/>
  <c r="Q107" i="1" l="1"/>
  <c r="Q104" i="1"/>
  <c r="Q88" i="1"/>
  <c r="O245" i="1"/>
  <c r="O59" i="1"/>
  <c r="O58" i="1"/>
  <c r="O57" i="1"/>
  <c r="O55" i="1"/>
  <c r="O158" i="1"/>
  <c r="O157" i="1"/>
  <c r="O156" i="1"/>
  <c r="O152" i="1"/>
  <c r="O151" i="1"/>
  <c r="O200" i="1"/>
  <c r="O199" i="1"/>
  <c r="O198" i="1"/>
  <c r="O196" i="1"/>
  <c r="O195" i="1"/>
  <c r="O119" i="1"/>
  <c r="O118" i="1"/>
  <c r="O117" i="1"/>
  <c r="O115" i="1"/>
  <c r="O85" i="1"/>
  <c r="O84" i="1"/>
  <c r="O83" i="1"/>
  <c r="O81" i="1"/>
  <c r="O244" i="1"/>
  <c r="O243" i="1"/>
  <c r="O242" i="1"/>
  <c r="O241" i="1"/>
  <c r="O8" i="1"/>
  <c r="O7" i="1"/>
  <c r="O6" i="1"/>
  <c r="O5" i="1"/>
  <c r="O283" i="1"/>
  <c r="O282" i="1"/>
  <c r="O281" i="1"/>
  <c r="O278" i="1"/>
  <c r="N31" i="2"/>
  <c r="O402" i="1"/>
  <c r="O401" i="1"/>
  <c r="O400" i="1"/>
  <c r="O398" i="1"/>
  <c r="N105" i="2"/>
  <c r="O227" i="1"/>
  <c r="O143" i="1"/>
  <c r="O270" i="1"/>
  <c r="O324" i="1"/>
  <c r="O307" i="1"/>
  <c r="O444" i="1"/>
  <c r="Q11" i="1"/>
  <c r="Q30" i="1"/>
  <c r="Q44" i="1"/>
  <c r="Q76" i="1"/>
  <c r="Q72" i="1"/>
  <c r="Q62" i="1"/>
  <c r="S47" i="2"/>
  <c r="Q112" i="1" l="1"/>
  <c r="Q52" i="1"/>
  <c r="O62" i="1"/>
  <c r="O78" i="1" s="1"/>
  <c r="O88" i="1"/>
  <c r="O112" i="1" s="1"/>
  <c r="O162" i="1"/>
  <c r="O192" i="1" s="1"/>
  <c r="O204" i="1"/>
  <c r="O237" i="1" s="1"/>
  <c r="O122" i="1"/>
  <c r="O148" i="1" s="1"/>
  <c r="O248" i="1"/>
  <c r="O275" i="1" s="1"/>
  <c r="O11" i="1"/>
  <c r="O52" i="1" s="1"/>
  <c r="O286" i="1"/>
  <c r="O326" i="1" s="1"/>
  <c r="O405" i="1"/>
  <c r="Q78" i="1"/>
  <c r="U3" i="2"/>
  <c r="Q328" i="1" l="1"/>
  <c r="U41" i="2" l="1"/>
  <c r="V69" i="1" l="1"/>
  <c r="V430" i="1" l="1"/>
  <c r="V424" i="1"/>
  <c r="V403" i="1"/>
  <c r="V402" i="1"/>
  <c r="V401" i="1"/>
  <c r="V400" i="1"/>
  <c r="V399" i="1"/>
  <c r="V398" i="1"/>
  <c r="V389" i="1"/>
  <c r="V391" i="1" s="1"/>
  <c r="V394" i="1" s="1"/>
  <c r="V374" i="1"/>
  <c r="V376" i="1" s="1"/>
  <c r="V379" i="1" s="1"/>
  <c r="V357" i="1"/>
  <c r="V346" i="1"/>
  <c r="V349" i="1" s="1"/>
  <c r="V324" i="1"/>
  <c r="V317" i="1"/>
  <c r="V307" i="1"/>
  <c r="V286" i="1"/>
  <c r="V273" i="1"/>
  <c r="V270" i="1"/>
  <c r="V266" i="1"/>
  <c r="V248" i="1"/>
  <c r="V230" i="1"/>
  <c r="V204" i="1"/>
  <c r="V190" i="1"/>
  <c r="V185" i="1"/>
  <c r="V179" i="1"/>
  <c r="V162" i="1"/>
  <c r="V146" i="1"/>
  <c r="V143" i="1"/>
  <c r="V133" i="1"/>
  <c r="V122" i="1"/>
  <c r="V107" i="1"/>
  <c r="V104" i="1"/>
  <c r="V88" i="1"/>
  <c r="V76" i="1"/>
  <c r="V72" i="1"/>
  <c r="V62" i="1"/>
  <c r="V48" i="1"/>
  <c r="V44" i="1"/>
  <c r="V30" i="1"/>
  <c r="V11" i="1"/>
  <c r="T403" i="1"/>
  <c r="T402" i="1"/>
  <c r="T401" i="1"/>
  <c r="T399" i="1"/>
  <c r="T400" i="1"/>
  <c r="T398" i="1"/>
  <c r="AA10" i="1" l="1"/>
  <c r="AA8" i="1"/>
  <c r="V148" i="1"/>
  <c r="AA9" i="1"/>
  <c r="T405" i="1"/>
  <c r="AA7" i="1"/>
  <c r="V237" i="1"/>
  <c r="V275" i="1"/>
  <c r="V112" i="1"/>
  <c r="V192" i="1"/>
  <c r="V405" i="1"/>
  <c r="V52" i="1"/>
  <c r="V78" i="1"/>
  <c r="V326" i="1"/>
  <c r="T357" i="1"/>
  <c r="U67" i="2"/>
  <c r="U69" i="2" s="1"/>
  <c r="U62" i="2"/>
  <c r="V348" i="1" s="1"/>
  <c r="V351" i="1" s="1"/>
  <c r="T346" i="1"/>
  <c r="T349" i="1" s="1"/>
  <c r="U84" i="2"/>
  <c r="V393" i="1" s="1"/>
  <c r="V395" i="1" s="1"/>
  <c r="U78" i="2"/>
  <c r="V378" i="1" s="1"/>
  <c r="V380" i="1" s="1"/>
  <c r="T430" i="1"/>
  <c r="T424" i="1"/>
  <c r="T389" i="1"/>
  <c r="T391" i="1" s="1"/>
  <c r="T374" i="1"/>
  <c r="T376" i="1" s="1"/>
  <c r="T379" i="1" s="1"/>
  <c r="T393" i="1" l="1"/>
  <c r="T395" i="1" s="1"/>
  <c r="T378" i="1"/>
  <c r="T380" i="1" s="1"/>
  <c r="T348" i="1"/>
  <c r="T351" i="1" s="1"/>
  <c r="AA12" i="1"/>
  <c r="V328" i="1"/>
  <c r="V331" i="1" s="1"/>
  <c r="T76" i="1"/>
  <c r="T72" i="1"/>
  <c r="T122" i="1" l="1"/>
  <c r="T107" i="1"/>
  <c r="T104" i="1"/>
  <c r="T48" i="1"/>
  <c r="T44" i="1"/>
  <c r="T30" i="1"/>
  <c r="T286" i="1"/>
  <c r="T273" i="1"/>
  <c r="T248" i="1"/>
  <c r="T62" i="1"/>
  <c r="T78" i="1" s="1"/>
  <c r="T88" i="1"/>
  <c r="T11" i="1"/>
  <c r="U44" i="2"/>
  <c r="U35" i="2"/>
  <c r="U19" i="2"/>
  <c r="R47" i="2"/>
  <c r="Y32" i="2" l="1"/>
  <c r="T112" i="1"/>
  <c r="T52" i="1"/>
  <c r="U47" i="2"/>
  <c r="U127" i="2" s="1"/>
  <c r="T190" i="1"/>
  <c r="T185" i="1"/>
  <c r="T179" i="1"/>
  <c r="T162" i="1"/>
  <c r="T330" i="1" l="1"/>
  <c r="V330" i="1"/>
  <c r="V332" i="1" s="1"/>
  <c r="T192" i="1"/>
  <c r="T204" i="1"/>
  <c r="T230" i="1"/>
  <c r="T324" i="1"/>
  <c r="T317" i="1"/>
  <c r="T307" i="1"/>
  <c r="T146" i="1"/>
  <c r="T143" i="1"/>
  <c r="T133" i="1"/>
  <c r="T270" i="1"/>
  <c r="T266" i="1"/>
  <c r="T237" i="1" l="1"/>
  <c r="T326" i="1"/>
  <c r="T148" i="1"/>
  <c r="T275" i="1"/>
  <c r="P110" i="2"/>
  <c r="P111" i="2"/>
  <c r="P87" i="2"/>
  <c r="U87" i="2" s="1"/>
  <c r="P90" i="2"/>
  <c r="U90" i="2" s="1"/>
  <c r="P91" i="2"/>
  <c r="U91" i="2" s="1"/>
  <c r="P92" i="2"/>
  <c r="U92" i="2" s="1"/>
  <c r="P93" i="2"/>
  <c r="U93" i="2" s="1"/>
  <c r="P94" i="2"/>
  <c r="U94" i="2" s="1"/>
  <c r="P95" i="2"/>
  <c r="U95" i="2" s="1"/>
  <c r="P96" i="2"/>
  <c r="U96" i="2" s="1"/>
  <c r="P97" i="2"/>
  <c r="U97" i="2" s="1"/>
  <c r="P98" i="2"/>
  <c r="U98" i="2" s="1"/>
  <c r="P99" i="2"/>
  <c r="U99" i="2" s="1"/>
  <c r="P100" i="2"/>
  <c r="U100" i="2" s="1"/>
  <c r="P101" i="2"/>
  <c r="U101" i="2" s="1"/>
  <c r="P102" i="2"/>
  <c r="P103" i="2"/>
  <c r="U103" i="2" s="1"/>
  <c r="P104" i="2"/>
  <c r="U104" i="2" s="1"/>
  <c r="P105" i="2"/>
  <c r="N106" i="2"/>
  <c r="P81" i="2"/>
  <c r="P82" i="2"/>
  <c r="P83" i="2"/>
  <c r="P71" i="2"/>
  <c r="P72" i="2"/>
  <c r="P73" i="2"/>
  <c r="P74" i="2"/>
  <c r="P75" i="2"/>
  <c r="P76" i="2"/>
  <c r="P77" i="2"/>
  <c r="P65" i="2"/>
  <c r="P66" i="2"/>
  <c r="P58" i="2"/>
  <c r="P59" i="2"/>
  <c r="P60" i="2"/>
  <c r="P61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2" i="2"/>
  <c r="P33" i="2"/>
  <c r="P34" i="2"/>
  <c r="P35" i="2"/>
  <c r="P36" i="2"/>
  <c r="P37" i="2"/>
  <c r="P38" i="2"/>
  <c r="P39" i="2"/>
  <c r="P42" i="2"/>
  <c r="P43" i="2"/>
  <c r="P44" i="2"/>
  <c r="P45" i="2"/>
  <c r="O430" i="1"/>
  <c r="O446" i="1" s="1"/>
  <c r="P404" i="1"/>
  <c r="P411" i="1"/>
  <c r="P413" i="1"/>
  <c r="P419" i="1"/>
  <c r="P421" i="1"/>
  <c r="P387" i="1"/>
  <c r="P388" i="1"/>
  <c r="P386" i="1"/>
  <c r="P361" i="1"/>
  <c r="P362" i="1"/>
  <c r="P367" i="1"/>
  <c r="P368" i="1"/>
  <c r="P344" i="1"/>
  <c r="P278" i="1"/>
  <c r="P279" i="1"/>
  <c r="P280" i="1"/>
  <c r="P281" i="1"/>
  <c r="P282" i="1"/>
  <c r="P283" i="1"/>
  <c r="P284" i="1"/>
  <c r="P285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9" i="1"/>
  <c r="P310" i="1"/>
  <c r="P311" i="1"/>
  <c r="P312" i="1"/>
  <c r="P313" i="1"/>
  <c r="P314" i="1"/>
  <c r="P315" i="1"/>
  <c r="P316" i="1"/>
  <c r="P319" i="1"/>
  <c r="P320" i="1"/>
  <c r="P321" i="1"/>
  <c r="P322" i="1"/>
  <c r="P323" i="1"/>
  <c r="P345" i="1"/>
  <c r="P348" i="1"/>
  <c r="P363" i="1"/>
  <c r="P364" i="1"/>
  <c r="P365" i="1"/>
  <c r="P366" i="1"/>
  <c r="P369" i="1"/>
  <c r="P370" i="1"/>
  <c r="P371" i="1"/>
  <c r="P373" i="1"/>
  <c r="P383" i="1"/>
  <c r="P384" i="1"/>
  <c r="P385" i="1"/>
  <c r="P399" i="1"/>
  <c r="P407" i="1"/>
  <c r="P408" i="1"/>
  <c r="P409" i="1"/>
  <c r="P410" i="1"/>
  <c r="P412" i="1"/>
  <c r="P414" i="1"/>
  <c r="P415" i="1"/>
  <c r="P416" i="1"/>
  <c r="P417" i="1"/>
  <c r="P418" i="1"/>
  <c r="P420" i="1"/>
  <c r="P422" i="1"/>
  <c r="P423" i="1"/>
  <c r="P426" i="1"/>
  <c r="P427" i="1"/>
  <c r="P428" i="1"/>
  <c r="P429" i="1"/>
  <c r="P433" i="1"/>
  <c r="P435" i="1"/>
  <c r="P436" i="1"/>
  <c r="P437" i="1"/>
  <c r="P438" i="1"/>
  <c r="P439" i="1"/>
  <c r="P440" i="1"/>
  <c r="P441" i="1"/>
  <c r="P442" i="1"/>
  <c r="P443" i="1"/>
  <c r="P453" i="1"/>
  <c r="P454" i="1"/>
  <c r="P456" i="1"/>
  <c r="P242" i="1"/>
  <c r="P243" i="1"/>
  <c r="P244" i="1"/>
  <c r="P245" i="1"/>
  <c r="P246" i="1"/>
  <c r="P247" i="1"/>
  <c r="P250" i="1"/>
  <c r="P252" i="1"/>
  <c r="P253" i="1"/>
  <c r="P254" i="1"/>
  <c r="P255" i="1"/>
  <c r="P256" i="1"/>
  <c r="P258" i="1"/>
  <c r="P259" i="1"/>
  <c r="P260" i="1"/>
  <c r="P261" i="1"/>
  <c r="P262" i="1"/>
  <c r="P263" i="1"/>
  <c r="P264" i="1"/>
  <c r="P257" i="1"/>
  <c r="P265" i="1"/>
  <c r="P251" i="1"/>
  <c r="P269" i="1"/>
  <c r="P272" i="1"/>
  <c r="P241" i="1"/>
  <c r="P195" i="1"/>
  <c r="P196" i="1"/>
  <c r="P197" i="1"/>
  <c r="P198" i="1"/>
  <c r="P199" i="1"/>
  <c r="P200" i="1"/>
  <c r="P201" i="1"/>
  <c r="P202" i="1"/>
  <c r="P203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4" i="1"/>
  <c r="P225" i="1"/>
  <c r="P226" i="1"/>
  <c r="P229" i="1"/>
  <c r="P232" i="1"/>
  <c r="P233" i="1"/>
  <c r="P234" i="1"/>
  <c r="P152" i="1"/>
  <c r="P153" i="1"/>
  <c r="P154" i="1"/>
  <c r="P155" i="1"/>
  <c r="P156" i="1"/>
  <c r="P157" i="1"/>
  <c r="P158" i="1"/>
  <c r="P159" i="1"/>
  <c r="P160" i="1"/>
  <c r="P161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81" i="1"/>
  <c r="P182" i="1"/>
  <c r="P183" i="1"/>
  <c r="P184" i="1"/>
  <c r="P187" i="1"/>
  <c r="P188" i="1"/>
  <c r="P189" i="1"/>
  <c r="P116" i="1"/>
  <c r="P117" i="1"/>
  <c r="P118" i="1"/>
  <c r="P119" i="1"/>
  <c r="P120" i="1"/>
  <c r="P121" i="1"/>
  <c r="P124" i="1"/>
  <c r="P125" i="1"/>
  <c r="P126" i="1"/>
  <c r="P127" i="1"/>
  <c r="P128" i="1"/>
  <c r="P129" i="1"/>
  <c r="P130" i="1"/>
  <c r="P131" i="1"/>
  <c r="P132" i="1"/>
  <c r="P135" i="1"/>
  <c r="P136" i="1"/>
  <c r="P137" i="1"/>
  <c r="P138" i="1"/>
  <c r="P139" i="1"/>
  <c r="P140" i="1"/>
  <c r="P141" i="1"/>
  <c r="P142" i="1"/>
  <c r="P145" i="1"/>
  <c r="P115" i="1"/>
  <c r="P81" i="1"/>
  <c r="P82" i="1"/>
  <c r="P83" i="1"/>
  <c r="P84" i="1"/>
  <c r="P85" i="1"/>
  <c r="P86" i="1"/>
  <c r="P87" i="1"/>
  <c r="P90" i="1"/>
  <c r="P91" i="1"/>
  <c r="P92" i="1"/>
  <c r="P93" i="1"/>
  <c r="P96" i="1"/>
  <c r="P97" i="1"/>
  <c r="P98" i="1"/>
  <c r="P99" i="1"/>
  <c r="P100" i="1"/>
  <c r="P101" i="1"/>
  <c r="P103" i="1"/>
  <c r="P106" i="1"/>
  <c r="P109" i="1"/>
  <c r="P74" i="1"/>
  <c r="P75" i="1"/>
  <c r="P64" i="1"/>
  <c r="P65" i="1"/>
  <c r="P66" i="1"/>
  <c r="P68" i="1"/>
  <c r="P69" i="1"/>
  <c r="P70" i="1"/>
  <c r="P71" i="1"/>
  <c r="P55" i="1"/>
  <c r="P56" i="1"/>
  <c r="P57" i="1"/>
  <c r="P58" i="1"/>
  <c r="P59" i="1"/>
  <c r="P60" i="1"/>
  <c r="P61" i="1"/>
  <c r="P46" i="1"/>
  <c r="P47" i="1"/>
  <c r="P50" i="1"/>
  <c r="P33" i="1"/>
  <c r="P34" i="1"/>
  <c r="P35" i="1"/>
  <c r="P36" i="1"/>
  <c r="P37" i="1"/>
  <c r="P38" i="1"/>
  <c r="P39" i="1"/>
  <c r="P40" i="1"/>
  <c r="P41" i="1"/>
  <c r="P42" i="1"/>
  <c r="P43" i="1"/>
  <c r="P32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13" i="1"/>
  <c r="P6" i="1"/>
  <c r="P7" i="1"/>
  <c r="P8" i="1"/>
  <c r="P10" i="1"/>
  <c r="N115" i="2" l="1"/>
  <c r="O448" i="1"/>
  <c r="T433" i="1"/>
  <c r="V433" i="1"/>
  <c r="T328" i="1"/>
  <c r="T331" i="1" s="1"/>
  <c r="P143" i="1"/>
  <c r="O449" i="1"/>
  <c r="P324" i="1"/>
  <c r="P307" i="1"/>
  <c r="O328" i="1"/>
  <c r="O330" i="1" s="1"/>
  <c r="O450" i="1" l="1"/>
  <c r="T332" i="1"/>
  <c r="N47" i="2"/>
  <c r="P31" i="2"/>
  <c r="O331" i="1"/>
  <c r="O332" i="1" s="1"/>
  <c r="D31" i="2"/>
  <c r="D47" i="2" s="1"/>
  <c r="C47" i="2"/>
  <c r="C62" i="2"/>
  <c r="D62" i="2"/>
  <c r="C67" i="2"/>
  <c r="C69" i="2" s="1"/>
  <c r="D67" i="2"/>
  <c r="C78" i="2"/>
  <c r="C84" i="2"/>
  <c r="C106" i="2"/>
  <c r="C125" i="2"/>
  <c r="D130" i="2" l="1"/>
  <c r="C130" i="2"/>
  <c r="N130" i="2"/>
  <c r="M125" i="2"/>
  <c r="K125" i="2"/>
  <c r="J125" i="2"/>
  <c r="G125" i="2"/>
  <c r="E125" i="2"/>
  <c r="E124" i="2"/>
  <c r="E123" i="2"/>
  <c r="E122" i="2"/>
  <c r="M112" i="2"/>
  <c r="P112" i="2" s="1"/>
  <c r="K112" i="2"/>
  <c r="J112" i="2"/>
  <c r="H112" i="2"/>
  <c r="G112" i="2"/>
  <c r="E112" i="2"/>
  <c r="I111" i="2"/>
  <c r="I110" i="2"/>
  <c r="J106" i="2"/>
  <c r="H106" i="2"/>
  <c r="E106" i="2"/>
  <c r="E105" i="2"/>
  <c r="I104" i="2"/>
  <c r="E104" i="2"/>
  <c r="I103" i="2"/>
  <c r="E103" i="2"/>
  <c r="I100" i="2"/>
  <c r="E100" i="2"/>
  <c r="I99" i="2"/>
  <c r="E99" i="2"/>
  <c r="I98" i="2"/>
  <c r="E98" i="2"/>
  <c r="I97" i="2"/>
  <c r="I96" i="2"/>
  <c r="E96" i="2"/>
  <c r="I95" i="2"/>
  <c r="E95" i="2"/>
  <c r="I94" i="2"/>
  <c r="E94" i="2"/>
  <c r="I93" i="2"/>
  <c r="E93" i="2"/>
  <c r="I92" i="2"/>
  <c r="E92" i="2"/>
  <c r="I91" i="2"/>
  <c r="E91" i="2"/>
  <c r="I90" i="2"/>
  <c r="E90" i="2"/>
  <c r="M89" i="2"/>
  <c r="P89" i="2" s="1"/>
  <c r="U89" i="2" s="1"/>
  <c r="G89" i="2"/>
  <c r="I89" i="2" s="1"/>
  <c r="E89" i="2"/>
  <c r="M88" i="2"/>
  <c r="P88" i="2" s="1"/>
  <c r="U88" i="2" s="1"/>
  <c r="G88" i="2"/>
  <c r="I88" i="2" s="1"/>
  <c r="E88" i="2"/>
  <c r="I87" i="2"/>
  <c r="K87" i="2" s="1"/>
  <c r="K106" i="2" s="1"/>
  <c r="E87" i="2"/>
  <c r="M84" i="2"/>
  <c r="P84" i="2" s="1"/>
  <c r="K84" i="2"/>
  <c r="J84" i="2"/>
  <c r="G84" i="2"/>
  <c r="E84" i="2"/>
  <c r="H83" i="2"/>
  <c r="I83" i="2" s="1"/>
  <c r="E83" i="2"/>
  <c r="H82" i="2"/>
  <c r="E82" i="2"/>
  <c r="I81" i="2"/>
  <c r="E81" i="2"/>
  <c r="M78" i="2"/>
  <c r="P78" i="2" s="1"/>
  <c r="K78" i="2"/>
  <c r="J78" i="2"/>
  <c r="G78" i="2"/>
  <c r="E78" i="2"/>
  <c r="H77" i="2"/>
  <c r="E77" i="2"/>
  <c r="H76" i="2"/>
  <c r="E76" i="2"/>
  <c r="H75" i="2"/>
  <c r="E75" i="2"/>
  <c r="E74" i="2"/>
  <c r="E73" i="2"/>
  <c r="E72" i="2"/>
  <c r="H69" i="2"/>
  <c r="G69" i="2"/>
  <c r="M67" i="2"/>
  <c r="K67" i="2"/>
  <c r="K69" i="2" s="1"/>
  <c r="J67" i="2"/>
  <c r="J69" i="2" s="1"/>
  <c r="I67" i="2"/>
  <c r="I69" i="2" s="1"/>
  <c r="E66" i="2"/>
  <c r="E65" i="2"/>
  <c r="M62" i="2"/>
  <c r="P62" i="2" s="1"/>
  <c r="J62" i="2"/>
  <c r="G62" i="2"/>
  <c r="E62" i="2"/>
  <c r="E61" i="2"/>
  <c r="H60" i="2"/>
  <c r="E60" i="2"/>
  <c r="H59" i="2"/>
  <c r="E59" i="2"/>
  <c r="J47" i="2"/>
  <c r="E45" i="2"/>
  <c r="E44" i="2"/>
  <c r="E43" i="2"/>
  <c r="E42" i="2"/>
  <c r="M41" i="2"/>
  <c r="P41" i="2" s="1"/>
  <c r="K41" i="2"/>
  <c r="E41" i="2"/>
  <c r="M40" i="2"/>
  <c r="P40" i="2" s="1"/>
  <c r="Y29" i="2" s="1"/>
  <c r="K40" i="2"/>
  <c r="G40" i="2"/>
  <c r="E40" i="2"/>
  <c r="E39" i="2"/>
  <c r="E38" i="2"/>
  <c r="E37" i="2"/>
  <c r="G36" i="2"/>
  <c r="E36" i="2"/>
  <c r="E35" i="2"/>
  <c r="E34" i="2"/>
  <c r="E33" i="2"/>
  <c r="E32" i="2"/>
  <c r="H31" i="2"/>
  <c r="G31" i="2"/>
  <c r="E30" i="2"/>
  <c r="E29" i="2"/>
  <c r="E28" i="2"/>
  <c r="E27" i="2"/>
  <c r="E26" i="2"/>
  <c r="E24" i="2"/>
  <c r="E22" i="2"/>
  <c r="E21" i="2"/>
  <c r="E20" i="2"/>
  <c r="E19" i="2"/>
  <c r="E18" i="2"/>
  <c r="E17" i="2"/>
  <c r="E15" i="2"/>
  <c r="E14" i="2"/>
  <c r="H13" i="2"/>
  <c r="E13" i="2"/>
  <c r="E12" i="2"/>
  <c r="E11" i="2"/>
  <c r="E10" i="2"/>
  <c r="E9" i="2"/>
  <c r="E8" i="2"/>
  <c r="E7" i="2"/>
  <c r="E6" i="2"/>
  <c r="E4" i="2"/>
  <c r="M3" i="2"/>
  <c r="P3" i="2" s="1"/>
  <c r="K3" i="2"/>
  <c r="G3" i="2"/>
  <c r="E3" i="2"/>
  <c r="N462" i="1"/>
  <c r="P462" i="1" s="1"/>
  <c r="I462" i="1"/>
  <c r="F462" i="1"/>
  <c r="E462" i="1"/>
  <c r="D462" i="1"/>
  <c r="N455" i="1"/>
  <c r="P455" i="1" s="1"/>
  <c r="I455" i="1"/>
  <c r="G455" i="1"/>
  <c r="F455" i="1"/>
  <c r="D455" i="1"/>
  <c r="H454" i="1"/>
  <c r="H453" i="1"/>
  <c r="G450" i="1"/>
  <c r="N448" i="1"/>
  <c r="P448" i="1" s="1"/>
  <c r="I448" i="1"/>
  <c r="F448" i="1"/>
  <c r="H448" i="1" s="1"/>
  <c r="M446" i="1"/>
  <c r="L446" i="1"/>
  <c r="K446" i="1"/>
  <c r="J446" i="1"/>
  <c r="I449" i="1" s="1"/>
  <c r="E446" i="1"/>
  <c r="G444" i="1"/>
  <c r="G446" i="1" s="1"/>
  <c r="D444" i="1"/>
  <c r="H443" i="1"/>
  <c r="H442" i="1"/>
  <c r="H441" i="1"/>
  <c r="H440" i="1"/>
  <c r="H438" i="1"/>
  <c r="H437" i="1"/>
  <c r="H436" i="1"/>
  <c r="H435" i="1"/>
  <c r="F434" i="1"/>
  <c r="H434" i="1" s="1"/>
  <c r="H433" i="1"/>
  <c r="I433" i="1" s="1"/>
  <c r="F432" i="1"/>
  <c r="N430" i="1"/>
  <c r="P430" i="1" s="1"/>
  <c r="I430" i="1"/>
  <c r="F430" i="1"/>
  <c r="H430" i="1" s="1"/>
  <c r="D430" i="1"/>
  <c r="H429" i="1"/>
  <c r="H428" i="1"/>
  <c r="H427" i="1"/>
  <c r="H426" i="1"/>
  <c r="N424" i="1"/>
  <c r="P424" i="1" s="1"/>
  <c r="I424" i="1"/>
  <c r="H423" i="1"/>
  <c r="F421" i="1"/>
  <c r="H421" i="1" s="1"/>
  <c r="D421" i="1"/>
  <c r="D424" i="1" s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4" i="1"/>
  <c r="N403" i="1"/>
  <c r="P403" i="1" s="1"/>
  <c r="I403" i="1"/>
  <c r="F403" i="1"/>
  <c r="H403" i="1" s="1"/>
  <c r="D403" i="1"/>
  <c r="N402" i="1"/>
  <c r="P402" i="1" s="1"/>
  <c r="I402" i="1"/>
  <c r="F402" i="1"/>
  <c r="H402" i="1" s="1"/>
  <c r="D402" i="1"/>
  <c r="N401" i="1"/>
  <c r="P401" i="1" s="1"/>
  <c r="I401" i="1"/>
  <c r="F401" i="1"/>
  <c r="H401" i="1" s="1"/>
  <c r="N400" i="1"/>
  <c r="P400" i="1" s="1"/>
  <c r="I400" i="1"/>
  <c r="F400" i="1"/>
  <c r="I399" i="1"/>
  <c r="H399" i="1"/>
  <c r="N398" i="1"/>
  <c r="P398" i="1" s="1"/>
  <c r="I398" i="1"/>
  <c r="F398" i="1"/>
  <c r="H398" i="1" s="1"/>
  <c r="D398" i="1"/>
  <c r="D400" i="1" s="1"/>
  <c r="G395" i="1"/>
  <c r="N393" i="1"/>
  <c r="P393" i="1" s="1"/>
  <c r="I393" i="1"/>
  <c r="F393" i="1"/>
  <c r="H393" i="1" s="1"/>
  <c r="E391" i="1"/>
  <c r="N389" i="1"/>
  <c r="I389" i="1"/>
  <c r="I394" i="1" s="1"/>
  <c r="G389" i="1"/>
  <c r="F389" i="1"/>
  <c r="D389" i="1"/>
  <c r="D391" i="1" s="1"/>
  <c r="H388" i="1"/>
  <c r="H387" i="1"/>
  <c r="H386" i="1"/>
  <c r="H385" i="1"/>
  <c r="H384" i="1"/>
  <c r="H383" i="1"/>
  <c r="G380" i="1"/>
  <c r="N378" i="1"/>
  <c r="P378" i="1" s="1"/>
  <c r="I378" i="1"/>
  <c r="F378" i="1"/>
  <c r="H378" i="1" s="1"/>
  <c r="E376" i="1"/>
  <c r="N374" i="1"/>
  <c r="I374" i="1"/>
  <c r="F374" i="1"/>
  <c r="H374" i="1" s="1"/>
  <c r="D374" i="1"/>
  <c r="D376" i="1" s="1"/>
  <c r="H373" i="1"/>
  <c r="H371" i="1"/>
  <c r="H370" i="1"/>
  <c r="H369" i="1"/>
  <c r="H368" i="1"/>
  <c r="H367" i="1"/>
  <c r="H362" i="1"/>
  <c r="H366" i="1"/>
  <c r="H365" i="1"/>
  <c r="H364" i="1"/>
  <c r="H363" i="1"/>
  <c r="H361" i="1"/>
  <c r="G357" i="1"/>
  <c r="E357" i="1"/>
  <c r="N355" i="1"/>
  <c r="F355" i="1"/>
  <c r="H355" i="1" s="1"/>
  <c r="D355" i="1"/>
  <c r="H354" i="1"/>
  <c r="P354" i="1" s="1"/>
  <c r="G349" i="1"/>
  <c r="E349" i="1"/>
  <c r="N346" i="1"/>
  <c r="M346" i="1"/>
  <c r="L346" i="1"/>
  <c r="K346" i="1"/>
  <c r="J346" i="1"/>
  <c r="I346" i="1"/>
  <c r="F346" i="1"/>
  <c r="F349" i="1" s="1"/>
  <c r="D346" i="1"/>
  <c r="D349" i="1" s="1"/>
  <c r="H345" i="1"/>
  <c r="H344" i="1"/>
  <c r="E332" i="1"/>
  <c r="N330" i="1"/>
  <c r="M330" i="1"/>
  <c r="L330" i="1"/>
  <c r="K330" i="1"/>
  <c r="J330" i="1"/>
  <c r="I330" i="1"/>
  <c r="H330" i="1"/>
  <c r="G330" i="1"/>
  <c r="F330" i="1"/>
  <c r="G326" i="1"/>
  <c r="E326" i="1"/>
  <c r="N324" i="1"/>
  <c r="M324" i="1"/>
  <c r="L324" i="1"/>
  <c r="K324" i="1"/>
  <c r="J324" i="1"/>
  <c r="I324" i="1"/>
  <c r="D324" i="1"/>
  <c r="H323" i="1"/>
  <c r="H322" i="1"/>
  <c r="H321" i="1"/>
  <c r="F320" i="1"/>
  <c r="F324" i="1" s="1"/>
  <c r="N317" i="1"/>
  <c r="P317" i="1" s="1"/>
  <c r="M317" i="1"/>
  <c r="L317" i="1"/>
  <c r="K317" i="1"/>
  <c r="J317" i="1"/>
  <c r="I317" i="1"/>
  <c r="F317" i="1"/>
  <c r="H317" i="1" s="1"/>
  <c r="D317" i="1"/>
  <c r="H316" i="1"/>
  <c r="H315" i="1"/>
  <c r="H314" i="1"/>
  <c r="H313" i="1"/>
  <c r="H312" i="1"/>
  <c r="H311" i="1"/>
  <c r="H310" i="1"/>
  <c r="H309" i="1"/>
  <c r="N307" i="1"/>
  <c r="M307" i="1"/>
  <c r="L307" i="1"/>
  <c r="K307" i="1"/>
  <c r="J307" i="1"/>
  <c r="I307" i="1"/>
  <c r="F307" i="1"/>
  <c r="H307" i="1" s="1"/>
  <c r="D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N286" i="1"/>
  <c r="P286" i="1" s="1"/>
  <c r="M286" i="1"/>
  <c r="L286" i="1"/>
  <c r="K286" i="1"/>
  <c r="J286" i="1"/>
  <c r="F286" i="1"/>
  <c r="H286" i="1" s="1"/>
  <c r="H285" i="1"/>
  <c r="I285" i="1" s="1"/>
  <c r="I286" i="1" s="1"/>
  <c r="D285" i="1"/>
  <c r="D286" i="1" s="1"/>
  <c r="H284" i="1"/>
  <c r="H283" i="1"/>
  <c r="H282" i="1"/>
  <c r="H281" i="1"/>
  <c r="H280" i="1"/>
  <c r="H279" i="1"/>
  <c r="H278" i="1"/>
  <c r="E275" i="1"/>
  <c r="N273" i="1"/>
  <c r="P273" i="1" s="1"/>
  <c r="M273" i="1"/>
  <c r="L273" i="1"/>
  <c r="K273" i="1"/>
  <c r="J273" i="1"/>
  <c r="I273" i="1"/>
  <c r="F273" i="1"/>
  <c r="D273" i="1"/>
  <c r="H272" i="1"/>
  <c r="N270" i="1"/>
  <c r="P270" i="1" s="1"/>
  <c r="M270" i="1"/>
  <c r="L270" i="1"/>
  <c r="K270" i="1"/>
  <c r="J270" i="1"/>
  <c r="I270" i="1"/>
  <c r="F270" i="1"/>
  <c r="H270" i="1" s="1"/>
  <c r="D270" i="1"/>
  <c r="H269" i="1"/>
  <c r="H268" i="1"/>
  <c r="N266" i="1"/>
  <c r="P266" i="1" s="1"/>
  <c r="M266" i="1"/>
  <c r="L266" i="1"/>
  <c r="K266" i="1"/>
  <c r="J266" i="1"/>
  <c r="I266" i="1"/>
  <c r="F266" i="1"/>
  <c r="H266" i="1" s="1"/>
  <c r="D266" i="1"/>
  <c r="H251" i="1"/>
  <c r="H265" i="1"/>
  <c r="H257" i="1"/>
  <c r="H264" i="1"/>
  <c r="H263" i="1"/>
  <c r="H262" i="1"/>
  <c r="H261" i="1"/>
  <c r="H260" i="1"/>
  <c r="H259" i="1"/>
  <c r="H258" i="1"/>
  <c r="H256" i="1"/>
  <c r="H255" i="1"/>
  <c r="H254" i="1"/>
  <c r="H253" i="1"/>
  <c r="H252" i="1"/>
  <c r="N248" i="1"/>
  <c r="P248" i="1" s="1"/>
  <c r="M248" i="1"/>
  <c r="L248" i="1"/>
  <c r="K248" i="1"/>
  <c r="J248" i="1"/>
  <c r="F248" i="1"/>
  <c r="H248" i="1" s="1"/>
  <c r="H247" i="1"/>
  <c r="I247" i="1" s="1"/>
  <c r="I248" i="1" s="1"/>
  <c r="D247" i="1"/>
  <c r="D248" i="1" s="1"/>
  <c r="H246" i="1"/>
  <c r="H245" i="1"/>
  <c r="H244" i="1"/>
  <c r="H243" i="1"/>
  <c r="H242" i="1"/>
  <c r="H241" i="1"/>
  <c r="E237" i="1"/>
  <c r="N235" i="1"/>
  <c r="P235" i="1" s="1"/>
  <c r="M235" i="1"/>
  <c r="L235" i="1"/>
  <c r="K235" i="1"/>
  <c r="J235" i="1"/>
  <c r="F235" i="1"/>
  <c r="H235" i="1" s="1"/>
  <c r="D235" i="1"/>
  <c r="H234" i="1"/>
  <c r="H233" i="1"/>
  <c r="I232" i="1"/>
  <c r="I235" i="1" s="1"/>
  <c r="H232" i="1"/>
  <c r="N230" i="1"/>
  <c r="P230" i="1" s="1"/>
  <c r="M230" i="1"/>
  <c r="L230" i="1"/>
  <c r="K230" i="1"/>
  <c r="J230" i="1"/>
  <c r="I230" i="1"/>
  <c r="G230" i="1"/>
  <c r="F230" i="1"/>
  <c r="D230" i="1"/>
  <c r="H229" i="1"/>
  <c r="N227" i="1"/>
  <c r="P227" i="1" s="1"/>
  <c r="M227" i="1"/>
  <c r="L227" i="1"/>
  <c r="K227" i="1"/>
  <c r="J227" i="1"/>
  <c r="I227" i="1"/>
  <c r="F227" i="1"/>
  <c r="H227" i="1" s="1"/>
  <c r="D227" i="1"/>
  <c r="H226" i="1"/>
  <c r="H225" i="1"/>
  <c r="H224" i="1"/>
  <c r="H222" i="1"/>
  <c r="H221" i="1"/>
  <c r="H220" i="1"/>
  <c r="H219" i="1"/>
  <c r="H218" i="1"/>
  <c r="H217" i="1"/>
  <c r="H216" i="1"/>
  <c r="H215" i="1"/>
  <c r="H213" i="1"/>
  <c r="H212" i="1"/>
  <c r="H211" i="1"/>
  <c r="H210" i="1"/>
  <c r="H209" i="1"/>
  <c r="H208" i="1"/>
  <c r="H207" i="1"/>
  <c r="N204" i="1"/>
  <c r="P204" i="1" s="1"/>
  <c r="M204" i="1"/>
  <c r="L204" i="1"/>
  <c r="K204" i="1"/>
  <c r="J204" i="1"/>
  <c r="I204" i="1"/>
  <c r="G204" i="1"/>
  <c r="F203" i="1"/>
  <c r="F204" i="1" s="1"/>
  <c r="D203" i="1"/>
  <c r="D204" i="1" s="1"/>
  <c r="H202" i="1"/>
  <c r="H201" i="1"/>
  <c r="H200" i="1"/>
  <c r="H199" i="1"/>
  <c r="H198" i="1"/>
  <c r="H197" i="1"/>
  <c r="H196" i="1"/>
  <c r="H195" i="1"/>
  <c r="E192" i="1"/>
  <c r="N190" i="1"/>
  <c r="P190" i="1" s="1"/>
  <c r="M190" i="1"/>
  <c r="L190" i="1"/>
  <c r="K190" i="1"/>
  <c r="J190" i="1"/>
  <c r="I190" i="1"/>
  <c r="F190" i="1"/>
  <c r="H190" i="1" s="1"/>
  <c r="D190" i="1"/>
  <c r="H189" i="1"/>
  <c r="H188" i="1"/>
  <c r="H187" i="1"/>
  <c r="N185" i="1"/>
  <c r="P185" i="1" s="1"/>
  <c r="M185" i="1"/>
  <c r="L185" i="1"/>
  <c r="K185" i="1"/>
  <c r="J185" i="1"/>
  <c r="I185" i="1"/>
  <c r="F185" i="1"/>
  <c r="H185" i="1" s="1"/>
  <c r="D185" i="1"/>
  <c r="H184" i="1"/>
  <c r="H183" i="1"/>
  <c r="H182" i="1"/>
  <c r="H181" i="1"/>
  <c r="N179" i="1"/>
  <c r="P179" i="1" s="1"/>
  <c r="M179" i="1"/>
  <c r="L179" i="1"/>
  <c r="K179" i="1"/>
  <c r="J179" i="1"/>
  <c r="I179" i="1"/>
  <c r="F179" i="1"/>
  <c r="H179" i="1" s="1"/>
  <c r="D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M162" i="1"/>
  <c r="L162" i="1"/>
  <c r="K162" i="1"/>
  <c r="J162" i="1"/>
  <c r="I162" i="1"/>
  <c r="G162" i="1"/>
  <c r="G192" i="1" s="1"/>
  <c r="F162" i="1"/>
  <c r="D162" i="1"/>
  <c r="H161" i="1"/>
  <c r="H160" i="1"/>
  <c r="H159" i="1"/>
  <c r="H158" i="1"/>
  <c r="H157" i="1"/>
  <c r="H156" i="1"/>
  <c r="H155" i="1"/>
  <c r="H154" i="1"/>
  <c r="H153" i="1"/>
  <c r="H152" i="1"/>
  <c r="N151" i="1"/>
  <c r="H151" i="1"/>
  <c r="N146" i="1"/>
  <c r="P146" i="1" s="1"/>
  <c r="M146" i="1"/>
  <c r="L146" i="1"/>
  <c r="K146" i="1"/>
  <c r="J146" i="1"/>
  <c r="I146" i="1"/>
  <c r="G146" i="1"/>
  <c r="F146" i="1"/>
  <c r="E146" i="1"/>
  <c r="E148" i="1" s="1"/>
  <c r="D146" i="1"/>
  <c r="H145" i="1"/>
  <c r="N143" i="1"/>
  <c r="M143" i="1"/>
  <c r="L143" i="1"/>
  <c r="K143" i="1"/>
  <c r="J143" i="1"/>
  <c r="I143" i="1"/>
  <c r="G143" i="1"/>
  <c r="F143" i="1"/>
  <c r="D143" i="1"/>
  <c r="H142" i="1"/>
  <c r="H141" i="1"/>
  <c r="H140" i="1"/>
  <c r="H139" i="1"/>
  <c r="H138" i="1"/>
  <c r="N133" i="1"/>
  <c r="P133" i="1" s="1"/>
  <c r="M133" i="1"/>
  <c r="L133" i="1"/>
  <c r="K133" i="1"/>
  <c r="J133" i="1"/>
  <c r="I133" i="1"/>
  <c r="F133" i="1"/>
  <c r="H133" i="1" s="1"/>
  <c r="D133" i="1"/>
  <c r="H131" i="1"/>
  <c r="H130" i="1"/>
  <c r="H129" i="1"/>
  <c r="H128" i="1"/>
  <c r="H127" i="1"/>
  <c r="H126" i="1"/>
  <c r="H125" i="1"/>
  <c r="H124" i="1"/>
  <c r="N122" i="1"/>
  <c r="P122" i="1" s="1"/>
  <c r="M122" i="1"/>
  <c r="L122" i="1"/>
  <c r="K122" i="1"/>
  <c r="J122" i="1"/>
  <c r="F122" i="1"/>
  <c r="H122" i="1" s="1"/>
  <c r="D122" i="1"/>
  <c r="H121" i="1"/>
  <c r="I121" i="1" s="1"/>
  <c r="I122" i="1" s="1"/>
  <c r="H120" i="1"/>
  <c r="H119" i="1"/>
  <c r="H118" i="1"/>
  <c r="H117" i="1"/>
  <c r="H116" i="1"/>
  <c r="H115" i="1"/>
  <c r="E112" i="1"/>
  <c r="N110" i="1"/>
  <c r="P110" i="1" s="1"/>
  <c r="M110" i="1"/>
  <c r="L110" i="1"/>
  <c r="K110" i="1"/>
  <c r="J110" i="1"/>
  <c r="I110" i="1"/>
  <c r="G110" i="1"/>
  <c r="F110" i="1"/>
  <c r="H109" i="1"/>
  <c r="D109" i="1"/>
  <c r="D110" i="1" s="1"/>
  <c r="L23" i="1"/>
  <c r="N107" i="1"/>
  <c r="P107" i="1" s="1"/>
  <c r="M107" i="1"/>
  <c r="L107" i="1"/>
  <c r="K107" i="1"/>
  <c r="J107" i="1"/>
  <c r="I107" i="1"/>
  <c r="G107" i="1"/>
  <c r="F107" i="1"/>
  <c r="D107" i="1"/>
  <c r="H106" i="1"/>
  <c r="N104" i="1"/>
  <c r="P104" i="1" s="1"/>
  <c r="I104" i="1"/>
  <c r="F104" i="1"/>
  <c r="H104" i="1" s="1"/>
  <c r="D104" i="1"/>
  <c r="H103" i="1"/>
  <c r="H100" i="1"/>
  <c r="H99" i="1"/>
  <c r="H98" i="1"/>
  <c r="H97" i="1"/>
  <c r="H96" i="1"/>
  <c r="H93" i="1"/>
  <c r="H92" i="1"/>
  <c r="H91" i="1"/>
  <c r="H90" i="1"/>
  <c r="N88" i="1"/>
  <c r="P88" i="1" s="1"/>
  <c r="M88" i="1"/>
  <c r="L88" i="1"/>
  <c r="K88" i="1"/>
  <c r="J88" i="1"/>
  <c r="F88" i="1"/>
  <c r="H88" i="1" s="1"/>
  <c r="H87" i="1"/>
  <c r="H86" i="1"/>
  <c r="D86" i="1"/>
  <c r="H85" i="1"/>
  <c r="H84" i="1"/>
  <c r="D84" i="1"/>
  <c r="H83" i="1"/>
  <c r="D83" i="1"/>
  <c r="I82" i="1"/>
  <c r="I88" i="1" s="1"/>
  <c r="H81" i="1"/>
  <c r="E78" i="1"/>
  <c r="N76" i="1"/>
  <c r="P76" i="1" s="1"/>
  <c r="M76" i="1"/>
  <c r="L76" i="1"/>
  <c r="K76" i="1"/>
  <c r="J76" i="1"/>
  <c r="I76" i="1"/>
  <c r="G76" i="1"/>
  <c r="G78" i="1" s="1"/>
  <c r="F76" i="1"/>
  <c r="D76" i="1"/>
  <c r="H75" i="1"/>
  <c r="H74" i="1"/>
  <c r="M72" i="1"/>
  <c r="L72" i="1"/>
  <c r="K72" i="1"/>
  <c r="J72" i="1"/>
  <c r="I72" i="1"/>
  <c r="F72" i="1"/>
  <c r="H72" i="1" s="1"/>
  <c r="D72" i="1"/>
  <c r="H71" i="1"/>
  <c r="H70" i="1"/>
  <c r="H69" i="1"/>
  <c r="H68" i="1"/>
  <c r="N67" i="1"/>
  <c r="H67" i="1"/>
  <c r="H66" i="1"/>
  <c r="H65" i="1"/>
  <c r="H64" i="1"/>
  <c r="N62" i="1"/>
  <c r="P62" i="1" s="1"/>
  <c r="M62" i="1"/>
  <c r="L62" i="1"/>
  <c r="K62" i="1"/>
  <c r="J62" i="1"/>
  <c r="I62" i="1"/>
  <c r="F62" i="1"/>
  <c r="H62" i="1" s="1"/>
  <c r="D62" i="1"/>
  <c r="H61" i="1"/>
  <c r="H60" i="1"/>
  <c r="H59" i="1"/>
  <c r="H58" i="1"/>
  <c r="H57" i="1"/>
  <c r="H55" i="1"/>
  <c r="E52" i="1"/>
  <c r="N48" i="1"/>
  <c r="P48" i="1" s="1"/>
  <c r="M48" i="1"/>
  <c r="L48" i="1"/>
  <c r="K48" i="1"/>
  <c r="J48" i="1"/>
  <c r="I48" i="1"/>
  <c r="H48" i="1"/>
  <c r="D48" i="1"/>
  <c r="H47" i="1"/>
  <c r="H46" i="1"/>
  <c r="N44" i="1"/>
  <c r="P44" i="1" s="1"/>
  <c r="M44" i="1"/>
  <c r="L44" i="1"/>
  <c r="K44" i="1"/>
  <c r="J44" i="1"/>
  <c r="D44" i="1"/>
  <c r="F43" i="1"/>
  <c r="H43" i="1" s="1"/>
  <c r="F42" i="1"/>
  <c r="H42" i="1" s="1"/>
  <c r="F41" i="1"/>
  <c r="H41" i="1" s="1"/>
  <c r="F40" i="1"/>
  <c r="H40" i="1" s="1"/>
  <c r="F38" i="1"/>
  <c r="H38" i="1" s="1"/>
  <c r="I37" i="1"/>
  <c r="I44" i="1" s="1"/>
  <c r="H37" i="1"/>
  <c r="H36" i="1"/>
  <c r="F35" i="1"/>
  <c r="H35" i="1" s="1"/>
  <c r="F34" i="1"/>
  <c r="F33" i="1"/>
  <c r="H33" i="1" s="1"/>
  <c r="H32" i="1"/>
  <c r="N30" i="1"/>
  <c r="P30" i="1" s="1"/>
  <c r="K30" i="1"/>
  <c r="I30" i="1"/>
  <c r="D30" i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H18" i="1"/>
  <c r="H17" i="1"/>
  <c r="F16" i="1"/>
  <c r="F15" i="1"/>
  <c r="H15" i="1" s="1"/>
  <c r="F14" i="1"/>
  <c r="H14" i="1" s="1"/>
  <c r="J13" i="1"/>
  <c r="J30" i="1" s="1"/>
  <c r="F13" i="1"/>
  <c r="H13" i="1" s="1"/>
  <c r="M11" i="1"/>
  <c r="L11" i="1"/>
  <c r="K11" i="1"/>
  <c r="J11" i="1"/>
  <c r="I11" i="1"/>
  <c r="G11" i="1"/>
  <c r="G52" i="1" s="1"/>
  <c r="F11" i="1"/>
  <c r="D11" i="1"/>
  <c r="H10" i="1"/>
  <c r="N9" i="1"/>
  <c r="P9" i="1" s="1"/>
  <c r="H9" i="1"/>
  <c r="H8" i="1"/>
  <c r="H7" i="1"/>
  <c r="H6" i="1"/>
  <c r="N5" i="1"/>
  <c r="P5" i="1" s="1"/>
  <c r="H5" i="1"/>
  <c r="H47" i="2" l="1"/>
  <c r="I31" i="2"/>
  <c r="E67" i="2"/>
  <c r="AC10" i="1"/>
  <c r="AD10" i="1" s="1"/>
  <c r="AC9" i="1"/>
  <c r="U106" i="2"/>
  <c r="I112" i="2"/>
  <c r="K115" i="2"/>
  <c r="H84" i="2"/>
  <c r="I84" i="2" s="1"/>
  <c r="J115" i="2"/>
  <c r="H204" i="1"/>
  <c r="H349" i="1"/>
  <c r="M69" i="2"/>
  <c r="P69" i="2" s="1"/>
  <c r="P67" i="2"/>
  <c r="N357" i="1"/>
  <c r="N162" i="1"/>
  <c r="P162" i="1" s="1"/>
  <c r="P151" i="1"/>
  <c r="N349" i="1"/>
  <c r="P346" i="1"/>
  <c r="N379" i="1"/>
  <c r="P379" i="1" s="1"/>
  <c r="P374" i="1"/>
  <c r="N391" i="1"/>
  <c r="P391" i="1" s="1"/>
  <c r="P389" i="1"/>
  <c r="N72" i="1"/>
  <c r="P72" i="1" s="1"/>
  <c r="AC8" i="1" s="1"/>
  <c r="P67" i="1"/>
  <c r="D357" i="1"/>
  <c r="H78" i="2"/>
  <c r="I78" i="2" s="1"/>
  <c r="H115" i="2"/>
  <c r="K47" i="2"/>
  <c r="K130" i="2" s="1"/>
  <c r="F148" i="1"/>
  <c r="N237" i="1"/>
  <c r="P237" i="1" s="1"/>
  <c r="M112" i="1"/>
  <c r="H455" i="1"/>
  <c r="D88" i="1"/>
  <c r="D112" i="1" s="1"/>
  <c r="N11" i="1"/>
  <c r="P11" i="1" s="1"/>
  <c r="F424" i="1"/>
  <c r="H424" i="1" s="1"/>
  <c r="D275" i="1"/>
  <c r="I112" i="1"/>
  <c r="L237" i="1"/>
  <c r="K78" i="1"/>
  <c r="I148" i="1"/>
  <c r="I237" i="1"/>
  <c r="G112" i="1"/>
  <c r="H203" i="1"/>
  <c r="F444" i="1"/>
  <c r="K52" i="1"/>
  <c r="H146" i="1"/>
  <c r="H432" i="1"/>
  <c r="I432" i="1" s="1"/>
  <c r="M326" i="1"/>
  <c r="F44" i="1"/>
  <c r="H44" i="1" s="1"/>
  <c r="I78" i="1"/>
  <c r="H107" i="1"/>
  <c r="K148" i="1"/>
  <c r="G47" i="2"/>
  <c r="H62" i="2"/>
  <c r="I62" i="2" s="1"/>
  <c r="M47" i="2"/>
  <c r="P47" i="2" s="1"/>
  <c r="P330" i="1" s="1"/>
  <c r="I13" i="2"/>
  <c r="E31" i="2"/>
  <c r="M106" i="2"/>
  <c r="E130" i="2"/>
  <c r="J130" i="2"/>
  <c r="G106" i="2"/>
  <c r="E47" i="2"/>
  <c r="I434" i="1"/>
  <c r="N434" i="1"/>
  <c r="P434" i="1" s="1"/>
  <c r="L78" i="1"/>
  <c r="M78" i="1"/>
  <c r="K112" i="1"/>
  <c r="N112" i="1"/>
  <c r="P112" i="1" s="1"/>
  <c r="H143" i="1"/>
  <c r="J192" i="1"/>
  <c r="J237" i="1"/>
  <c r="M275" i="1"/>
  <c r="I405" i="1"/>
  <c r="I192" i="1"/>
  <c r="D52" i="1"/>
  <c r="D78" i="1"/>
  <c r="F112" i="1"/>
  <c r="D148" i="1"/>
  <c r="L148" i="1"/>
  <c r="K192" i="1"/>
  <c r="N275" i="1"/>
  <c r="P275" i="1" s="1"/>
  <c r="D326" i="1"/>
  <c r="N326" i="1"/>
  <c r="P326" i="1" s="1"/>
  <c r="N405" i="1"/>
  <c r="P405" i="1" s="1"/>
  <c r="F78" i="1"/>
  <c r="L192" i="1"/>
  <c r="K237" i="1"/>
  <c r="L326" i="1"/>
  <c r="I450" i="1"/>
  <c r="H11" i="1"/>
  <c r="H34" i="1"/>
  <c r="J148" i="1"/>
  <c r="N148" i="1"/>
  <c r="P148" i="1" s="1"/>
  <c r="M192" i="1"/>
  <c r="M237" i="1"/>
  <c r="F275" i="1"/>
  <c r="H275" i="1" s="1"/>
  <c r="I52" i="1"/>
  <c r="F30" i="1"/>
  <c r="H30" i="1" s="1"/>
  <c r="J112" i="1"/>
  <c r="D192" i="1"/>
  <c r="I275" i="1"/>
  <c r="L275" i="1"/>
  <c r="J78" i="1"/>
  <c r="M148" i="1"/>
  <c r="H162" i="1"/>
  <c r="F192" i="1"/>
  <c r="H192" i="1" s="1"/>
  <c r="G237" i="1"/>
  <c r="J275" i="1"/>
  <c r="J326" i="1"/>
  <c r="H389" i="1"/>
  <c r="D405" i="1"/>
  <c r="D446" i="1" s="1"/>
  <c r="L112" i="1"/>
  <c r="H230" i="1"/>
  <c r="K275" i="1"/>
  <c r="K326" i="1"/>
  <c r="F405" i="1"/>
  <c r="H405" i="1" s="1"/>
  <c r="F326" i="1"/>
  <c r="M23" i="1"/>
  <c r="M30" i="1" s="1"/>
  <c r="M52" i="1" s="1"/>
  <c r="H324" i="1"/>
  <c r="I355" i="1"/>
  <c r="I357" i="1" s="1"/>
  <c r="H357" i="1"/>
  <c r="D237" i="1"/>
  <c r="I395" i="1"/>
  <c r="J52" i="1"/>
  <c r="E328" i="1"/>
  <c r="E463" i="1" s="1"/>
  <c r="I326" i="1"/>
  <c r="H16" i="1"/>
  <c r="H76" i="1"/>
  <c r="H78" i="1" s="1"/>
  <c r="H110" i="1"/>
  <c r="F237" i="1"/>
  <c r="H320" i="1"/>
  <c r="F357" i="1"/>
  <c r="F376" i="1"/>
  <c r="G148" i="1"/>
  <c r="H273" i="1"/>
  <c r="N394" i="1"/>
  <c r="H346" i="1"/>
  <c r="N376" i="1"/>
  <c r="P376" i="1" s="1"/>
  <c r="F391" i="1"/>
  <c r="H400" i="1"/>
  <c r="U130" i="2" l="1"/>
  <c r="U128" i="2"/>
  <c r="I47" i="2"/>
  <c r="H130" i="2"/>
  <c r="AE10" i="1"/>
  <c r="N52" i="1"/>
  <c r="P52" i="1" s="1"/>
  <c r="H444" i="1"/>
  <c r="AE8" i="1"/>
  <c r="AD8" i="1"/>
  <c r="AC7" i="1"/>
  <c r="AD9" i="1"/>
  <c r="AE9" i="1"/>
  <c r="V448" i="1"/>
  <c r="T448" i="1"/>
  <c r="V434" i="1"/>
  <c r="T434" i="1"/>
  <c r="M115" i="2"/>
  <c r="P115" i="2" s="1"/>
  <c r="P106" i="2"/>
  <c r="P355" i="1"/>
  <c r="N432" i="1"/>
  <c r="P432" i="1" s="1"/>
  <c r="O357" i="1"/>
  <c r="N351" i="1"/>
  <c r="P349" i="1"/>
  <c r="N395" i="1"/>
  <c r="P394" i="1"/>
  <c r="N192" i="1"/>
  <c r="P192" i="1" s="1"/>
  <c r="N78" i="1"/>
  <c r="P78" i="1" s="1"/>
  <c r="H237" i="1"/>
  <c r="K328" i="1"/>
  <c r="K331" i="1" s="1"/>
  <c r="K332" i="1" s="1"/>
  <c r="H112" i="1"/>
  <c r="G328" i="1"/>
  <c r="G331" i="1" s="1"/>
  <c r="G332" i="1" s="1"/>
  <c r="M328" i="1"/>
  <c r="M459" i="1" s="1"/>
  <c r="M463" i="1" s="1"/>
  <c r="I444" i="1"/>
  <c r="I446" i="1" s="1"/>
  <c r="F446" i="1"/>
  <c r="F449" i="1" s="1"/>
  <c r="F52" i="1"/>
  <c r="H52" i="1" s="1"/>
  <c r="L13" i="1"/>
  <c r="L30" i="1" s="1"/>
  <c r="L52" i="1" s="1"/>
  <c r="L328" i="1" s="1"/>
  <c r="L331" i="1" s="1"/>
  <c r="L332" i="1" s="1"/>
  <c r="N444" i="1"/>
  <c r="P444" i="1" s="1"/>
  <c r="E459" i="1"/>
  <c r="M130" i="2"/>
  <c r="P130" i="2" s="1"/>
  <c r="I106" i="2"/>
  <c r="G115" i="2"/>
  <c r="I115" i="2" s="1"/>
  <c r="G130" i="2"/>
  <c r="I130" i="2" s="1"/>
  <c r="D328" i="1"/>
  <c r="D463" i="1" s="1"/>
  <c r="I328" i="1"/>
  <c r="J328" i="1"/>
  <c r="J331" i="1" s="1"/>
  <c r="J332" i="1" s="1"/>
  <c r="H148" i="1"/>
  <c r="F379" i="1"/>
  <c r="H376" i="1"/>
  <c r="F394" i="1"/>
  <c r="H391" i="1"/>
  <c r="H326" i="1"/>
  <c r="AC12" i="1" l="1"/>
  <c r="AE7" i="1"/>
  <c r="AD7" i="1"/>
  <c r="T462" i="1"/>
  <c r="V462" i="1"/>
  <c r="K459" i="1"/>
  <c r="K463" i="1" s="1"/>
  <c r="V432" i="1"/>
  <c r="V444" i="1" s="1"/>
  <c r="T432" i="1"/>
  <c r="T444" i="1" s="1"/>
  <c r="F328" i="1"/>
  <c r="F463" i="1" s="1"/>
  <c r="G459" i="1"/>
  <c r="G462" i="1" s="1"/>
  <c r="G466" i="1" s="1"/>
  <c r="P357" i="1"/>
  <c r="O459" i="1"/>
  <c r="O463" i="1" s="1"/>
  <c r="N446" i="1"/>
  <c r="N328" i="1"/>
  <c r="M331" i="1"/>
  <c r="M332" i="1" s="1"/>
  <c r="H446" i="1"/>
  <c r="L459" i="1"/>
  <c r="L463" i="1" s="1"/>
  <c r="D459" i="1"/>
  <c r="J459" i="1"/>
  <c r="J463" i="1" s="1"/>
  <c r="I331" i="1"/>
  <c r="I332" i="1" s="1"/>
  <c r="I459" i="1"/>
  <c r="I463" i="1" s="1"/>
  <c r="I464" i="1" s="1"/>
  <c r="H379" i="1"/>
  <c r="H380" i="1" s="1"/>
  <c r="F380" i="1"/>
  <c r="H394" i="1"/>
  <c r="H395" i="1" s="1"/>
  <c r="F395" i="1"/>
  <c r="H449" i="1"/>
  <c r="H450" i="1" s="1"/>
  <c r="F450" i="1"/>
  <c r="T446" i="1" l="1"/>
  <c r="T457" i="1" s="1"/>
  <c r="V446" i="1"/>
  <c r="V457" i="1" s="1"/>
  <c r="V459" i="1" s="1"/>
  <c r="V463" i="1" s="1"/>
  <c r="V464" i="1" s="1"/>
  <c r="AD12" i="1"/>
  <c r="AE12" i="1"/>
  <c r="H462" i="1"/>
  <c r="F331" i="1"/>
  <c r="F332" i="1" s="1"/>
  <c r="H328" i="1"/>
  <c r="H331" i="1" s="1"/>
  <c r="H332" i="1" s="1"/>
  <c r="F459" i="1"/>
  <c r="H459" i="1" s="1"/>
  <c r="N331" i="1"/>
  <c r="P328" i="1"/>
  <c r="N459" i="1"/>
  <c r="N449" i="1"/>
  <c r="P446" i="1"/>
  <c r="N457" i="1"/>
  <c r="P457" i="1" s="1"/>
  <c r="H463" i="1"/>
  <c r="F466" i="1"/>
  <c r="T449" i="1" l="1"/>
  <c r="T450" i="1" s="1"/>
  <c r="T459" i="1" s="1"/>
  <c r="T463" i="1" s="1"/>
  <c r="T464" i="1" s="1"/>
  <c r="V449" i="1"/>
  <c r="V450" i="1" s="1"/>
  <c r="N450" i="1"/>
  <c r="P450" i="1" s="1"/>
  <c r="P449" i="1"/>
  <c r="N463" i="1"/>
  <c r="P459" i="1"/>
  <c r="N332" i="1"/>
  <c r="P331" i="1"/>
  <c r="P332" i="1" s="1"/>
  <c r="N464" i="1" l="1"/>
  <c r="P464" i="1" s="1"/>
  <c r="P463" i="1"/>
</calcChain>
</file>

<file path=xl/sharedStrings.xml><?xml version="1.0" encoding="utf-8"?>
<sst xmlns="http://schemas.openxmlformats.org/spreadsheetml/2006/main" count="1088" uniqueCount="826">
  <si>
    <t>ADMINISTRATION</t>
  </si>
  <si>
    <t>10-00-4200-0020</t>
  </si>
  <si>
    <t>STAFF SALARIES</t>
  </si>
  <si>
    <t>10-00-4200-1810</t>
  </si>
  <si>
    <t>FICA TAX EXPENSE</t>
  </si>
  <si>
    <t>10-00-4200-1820</t>
  </si>
  <si>
    <t>401(K) SUPPLEMENTAL RETIREMENT</t>
  </si>
  <si>
    <t>10-00-4200-1821</t>
  </si>
  <si>
    <t>STATE RETIREMENT EXPENSE</t>
  </si>
  <si>
    <t>10-00-4200-1830</t>
  </si>
  <si>
    <t>HOSPITAL/DENTAL INSURANCE EXP</t>
  </si>
  <si>
    <t>10-00-4200-1860</t>
  </si>
  <si>
    <t>WORKER'S COMPENSATION INSURANCE</t>
  </si>
  <si>
    <t>Total Personnel Cost</t>
  </si>
  <si>
    <t>10-00-4200-2500</t>
  </si>
  <si>
    <t>BANK CREDIT CARD/RET ITEM FEES</t>
  </si>
  <si>
    <t>10-00-4200-2600</t>
  </si>
  <si>
    <t>SUPPLIES AND MATERIALS</t>
  </si>
  <si>
    <t>10-00-4200-2620</t>
  </si>
  <si>
    <t>EQUIPMENT</t>
  </si>
  <si>
    <t>10-00-4200-2800</t>
  </si>
  <si>
    <t>BACKGROUNDS/DRUG TESTING</t>
  </si>
  <si>
    <t>10-00-4200-3100</t>
  </si>
  <si>
    <t>TRAINING AND TRAVEL</t>
  </si>
  <si>
    <t>10-00-4200-3110</t>
  </si>
  <si>
    <t>GENERAL HR TRAINING</t>
  </si>
  <si>
    <t>10-00-4200-2900</t>
  </si>
  <si>
    <t>SAFETY SUPPLIES/SERVICES</t>
  </si>
  <si>
    <t>10-00-4200-3000</t>
  </si>
  <si>
    <t>WELLNESS</t>
  </si>
  <si>
    <t>10-00-4200-3210</t>
  </si>
  <si>
    <t>TELEPHONE EXPENSE</t>
  </si>
  <si>
    <t>10-00-4200-3250</t>
  </si>
  <si>
    <t>POSTAGE</t>
  </si>
  <si>
    <t>10-00-4200-3291</t>
  </si>
  <si>
    <t>ADVERTISING</t>
  </si>
  <si>
    <t>10-00-4200-3310</t>
  </si>
  <si>
    <t>ELECTRIC AND GAS</t>
  </si>
  <si>
    <t>10-00-4200-3400</t>
  </si>
  <si>
    <t>PRINTING</t>
  </si>
  <si>
    <t>10-00-4200-3500</t>
  </si>
  <si>
    <t>OFFICE EQUIPMENT LEASES</t>
  </si>
  <si>
    <t>10-00-4200-3520</t>
  </si>
  <si>
    <t>MAINTENANCE/REPAIR EQUIPMENT</t>
  </si>
  <si>
    <t>10-00-4200-4910</t>
  </si>
  <si>
    <t>DUES &amp; SUBSCRIPTIONS</t>
  </si>
  <si>
    <t>10-00-4200-7500</t>
  </si>
  <si>
    <t>PROPERTY RENTAL</t>
  </si>
  <si>
    <t>Total Operating Cost</t>
  </si>
  <si>
    <t>10-00-4200-1930</t>
  </si>
  <si>
    <t>CONTRACTED SERVICES</t>
  </si>
  <si>
    <t>10-00-4200-3220</t>
  </si>
  <si>
    <t>WEBSITE EXPENSE</t>
  </si>
  <si>
    <t>10-00-4200-3230</t>
  </si>
  <si>
    <t>STORAGE/SHRED SERVICE</t>
  </si>
  <si>
    <t>10-00-4200-1910</t>
  </si>
  <si>
    <t>AUDIT EXPENSE</t>
  </si>
  <si>
    <t>10-00-4200-1920</t>
  </si>
  <si>
    <t>LEGAL SERVICE</t>
  </si>
  <si>
    <t>CONTRACTED PROFESSIONAL SERVICES</t>
  </si>
  <si>
    <t>10-00-4200-3993</t>
  </si>
  <si>
    <t>UNEMPLOYMENT INSURANCE</t>
  </si>
  <si>
    <t>10-00-4200-3940</t>
  </si>
  <si>
    <t>LINK TRANSIT</t>
  </si>
  <si>
    <t>10-00-4200-4100</t>
  </si>
  <si>
    <t>INSURANCE AND BOND PREMIUMS</t>
  </si>
  <si>
    <t>10-00-4200-3930</t>
  </si>
  <si>
    <t>JANITORIAL SERVICE</t>
  </si>
  <si>
    <t>10-00-4200-4000</t>
  </si>
  <si>
    <t>FINANCE SOFTWARE</t>
  </si>
  <si>
    <t>10-00-4200-4010</t>
  </si>
  <si>
    <t>IT CONTRACT</t>
  </si>
  <si>
    <t>Total Contracted Services</t>
  </si>
  <si>
    <t>10-00-4200-5200</t>
  </si>
  <si>
    <t>CAPITAL OUTLAY EQUIPMENT</t>
  </si>
  <si>
    <t>10-00-4200-5800</t>
  </si>
  <si>
    <t>CAPITAL OUTLAY BLDG/GRNDS</t>
  </si>
  <si>
    <t>Total Capital Cost</t>
  </si>
  <si>
    <t>10-00-4200-9910</t>
  </si>
  <si>
    <t>CONTINGENCY</t>
  </si>
  <si>
    <t>ADMINISTRATION TOTAL</t>
  </si>
  <si>
    <t>TOWN COUNCIL</t>
  </si>
  <si>
    <t>10-00-4110-0020</t>
  </si>
  <si>
    <t>SALARIES</t>
  </si>
  <si>
    <t>10-00-4110-1810</t>
  </si>
  <si>
    <t>10-00-4110-1820</t>
  </si>
  <si>
    <t>10-00-4110-1821</t>
  </si>
  <si>
    <t>10-00-4110-1830</t>
  </si>
  <si>
    <t>10-00-4110-1860</t>
  </si>
  <si>
    <t>10-00-4110-1990</t>
  </si>
  <si>
    <t>PUBLIC OFFICIALS LIABILITY INS</t>
  </si>
  <si>
    <t>10-00-4110-2600</t>
  </si>
  <si>
    <t>SUPPLIES</t>
  </si>
  <si>
    <t>10-00-4110-2620</t>
  </si>
  <si>
    <t>10-00-4110-2700</t>
  </si>
  <si>
    <t>EMPLOYEE RECOGNITION AWARDS</t>
  </si>
  <si>
    <t>10-00-4110-3100</t>
  </si>
  <si>
    <t>TRAVEL &amp; TRAINING</t>
  </si>
  <si>
    <t>10-00-4110-3210</t>
  </si>
  <si>
    <t>TELEPHONE</t>
  </si>
  <si>
    <t>10-00-4110-3291</t>
  </si>
  <si>
    <t>10-00-4110-4910</t>
  </si>
  <si>
    <t>10-00-4110-4500</t>
  </si>
  <si>
    <t>ELECTION EXPENSE</t>
  </si>
  <si>
    <t>10-00-4110-4400</t>
  </si>
  <si>
    <t>Total Contract Services</t>
  </si>
  <si>
    <t>DOWNTOWN</t>
  </si>
  <si>
    <t>10-00-4400-0020</t>
  </si>
  <si>
    <t>PART TIME SALARIES</t>
  </si>
  <si>
    <t>10-00-4400-1810</t>
  </si>
  <si>
    <t>10-00-4400-1820</t>
  </si>
  <si>
    <t>10-00-4400-1821</t>
  </si>
  <si>
    <t>10-00-4400-1830</t>
  </si>
  <si>
    <t>10-00-4400-1860</t>
  </si>
  <si>
    <t>10-00-4400-2600</t>
  </si>
  <si>
    <t>10-00-4400-2620 EQUIPMENT</t>
  </si>
  <si>
    <t>10-00-4400-3100</t>
  </si>
  <si>
    <t>10-00-4400-3210</t>
  </si>
  <si>
    <t>10-00-4400-3400</t>
  </si>
  <si>
    <t>10-00-4400-3510</t>
  </si>
  <si>
    <t>DOWNTOWN IMPROVEMENTS</t>
  </si>
  <si>
    <t>10-00-4400-3990</t>
  </si>
  <si>
    <t>EVENTS</t>
  </si>
  <si>
    <t>10-00-4400-4910</t>
  </si>
  <si>
    <t>10-00-4400-3291</t>
  </si>
  <si>
    <t>ADVERTISING/MARKETING</t>
  </si>
  <si>
    <t>10-00-4400-5000</t>
  </si>
  <si>
    <t>FARMERS MARKET</t>
  </si>
  <si>
    <t>10-00-4400-7500</t>
  </si>
  <si>
    <t>LEASE PAYMENTS</t>
  </si>
  <si>
    <t>10-00-4400-4400</t>
  </si>
  <si>
    <t>10-00-4400-5800</t>
  </si>
  <si>
    <t>DOWNTOWN CAPITAL IMPROVEMENTS</t>
  </si>
  <si>
    <t>DOWNTOWN TOTAL</t>
  </si>
  <si>
    <t>DEVELOPMENTAL SERVICES</t>
  </si>
  <si>
    <t>10-00-4500-0020</t>
  </si>
  <si>
    <t>10-00-4500-0021</t>
  </si>
  <si>
    <t>10-00-4500-1810</t>
  </si>
  <si>
    <t>10-00-4500-1820</t>
  </si>
  <si>
    <t>10-00-4500-1821</t>
  </si>
  <si>
    <t>10-00-4500-1830</t>
  </si>
  <si>
    <t>10-00-4500-1860</t>
  </si>
  <si>
    <t>10-00-4500-2600</t>
  </si>
  <si>
    <t>10-00-4500-2620</t>
  </si>
  <si>
    <t>10-00-4500-3100</t>
  </si>
  <si>
    <t>10-00-4500-3210</t>
  </si>
  <si>
    <t>10-00-4500-3250</t>
  </si>
  <si>
    <t>10-00-4500-3400</t>
  </si>
  <si>
    <t>10-00-4500-3500</t>
  </si>
  <si>
    <t>APPEARANCE &amp; BEAUTIFICATION</t>
  </si>
  <si>
    <t>10-00-4500-4910</t>
  </si>
  <si>
    <t>10-00-4500-3291</t>
  </si>
  <si>
    <t>10-00-4500-1900</t>
  </si>
  <si>
    <t>ENGINEERING</t>
  </si>
  <si>
    <t>10-00-4500-1901</t>
  </si>
  <si>
    <t>PLAN REVIEW</t>
  </si>
  <si>
    <t>10-00-4500-1902</t>
  </si>
  <si>
    <t>CONSTRUCTION INSPECTION/MANAGEMENT</t>
  </si>
  <si>
    <t>10-00-4500-1920</t>
  </si>
  <si>
    <t>LEGAL SERVICES</t>
  </si>
  <si>
    <t>10-00-4500-6000</t>
  </si>
  <si>
    <t>GIS SERVICES</t>
  </si>
  <si>
    <t>10-00-4500-1940</t>
  </si>
  <si>
    <t>CODE ENFORCEMENT</t>
  </si>
  <si>
    <t>10-00-4500-1930</t>
  </si>
  <si>
    <t>10-00-4500-1950</t>
  </si>
  <si>
    <t>ABATEMENT</t>
  </si>
  <si>
    <t>10-00-4500-5600</t>
  </si>
  <si>
    <t>CAPITAL IMPROVEMENTS</t>
  </si>
  <si>
    <t>DEVELOPMENTAL SERVICES TOTAL</t>
  </si>
  <si>
    <t>POLICE DEPARTMENT</t>
  </si>
  <si>
    <t>10-10-5100-0020</t>
  </si>
  <si>
    <t>10-10-5100-0024</t>
  </si>
  <si>
    <t>PART-TIME SALARIES</t>
  </si>
  <si>
    <t>10-10-5100-0021</t>
  </si>
  <si>
    <t>OVERTIME SALARY</t>
  </si>
  <si>
    <t>10-10-5100-0022</t>
  </si>
  <si>
    <t>SPECIAL SEPARATION ALLOWANCE</t>
  </si>
  <si>
    <t>10-10-5100-0023</t>
  </si>
  <si>
    <t>Classification/Pay Incentives</t>
  </si>
  <si>
    <t>10-10-5100-1810</t>
  </si>
  <si>
    <t>10-10-5100-1820</t>
  </si>
  <si>
    <t>10-10-5100-1821</t>
  </si>
  <si>
    <t>10-10-5100-1830</t>
  </si>
  <si>
    <t>10-10-5100-1860</t>
  </si>
  <si>
    <t>WORKER'S COMPENSATION INSURANC</t>
  </si>
  <si>
    <t>10-10-5100-1990</t>
  </si>
  <si>
    <t>PROFESSIONAL LIABILITY INSURAN</t>
  </si>
  <si>
    <t>10-10-5100-2120</t>
  </si>
  <si>
    <t>UNIFORMS</t>
  </si>
  <si>
    <t>10-10-5100-2300</t>
  </si>
  <si>
    <t>COMMUNITY SPECIAL PROJECTS</t>
  </si>
  <si>
    <t>10-10-5100-2510</t>
  </si>
  <si>
    <t>GASOLINE EXPENSE</t>
  </si>
  <si>
    <t>10-10-5100-2600</t>
  </si>
  <si>
    <t>SUPPLIES/MATERIALS/POSTAGE</t>
  </si>
  <si>
    <t>10-10-5100-2610</t>
  </si>
  <si>
    <t>10-10-5100-2700</t>
  </si>
  <si>
    <t>K-9 EXPENSES</t>
  </si>
  <si>
    <t>10-10-5100-2900</t>
  </si>
  <si>
    <t>FIREARMS</t>
  </si>
  <si>
    <t>10-10-5100-3100</t>
  </si>
  <si>
    <t>TRAVEL &amp; TRAINING EXPENSE</t>
  </si>
  <si>
    <t>10-10-5100-3210</t>
  </si>
  <si>
    <t>TELEPHONE/WIRELESS</t>
  </si>
  <si>
    <t>10-10-5100-3310</t>
  </si>
  <si>
    <t>ELECTRICITY AND GAS ON BLDG</t>
  </si>
  <si>
    <t>10-10-5100-3510</t>
  </si>
  <si>
    <t>MAINTENANCE/REPAIR BUILDING</t>
  </si>
  <si>
    <t>10-10-5100-3520</t>
  </si>
  <si>
    <t>M &amp; R EQUIPMENT</t>
  </si>
  <si>
    <t>10-10-5100-3530</t>
  </si>
  <si>
    <t>M &amp; R VEHICLES</t>
  </si>
  <si>
    <t>10-10-5100-4911</t>
  </si>
  <si>
    <t>DUES AND SUBSCRIPTIONS</t>
  </si>
  <si>
    <t>10-10-5100-7500</t>
  </si>
  <si>
    <t>LEASE PURCHASE PAYMENTS</t>
  </si>
  <si>
    <t>10-10-5100-3930</t>
  </si>
  <si>
    <t>10-10-5100-4400</t>
  </si>
  <si>
    <t>CONTRACTED SERVICES/RENTAL FEE</t>
  </si>
  <si>
    <t>10-10-5100-6100</t>
  </si>
  <si>
    <t>ANIMAL CONTROL PROGRAM</t>
  </si>
  <si>
    <t>10-10-5100-6000</t>
  </si>
  <si>
    <t>C-COMM DISPATCH EXPENSE</t>
  </si>
  <si>
    <t>10-10-5100-5400</t>
  </si>
  <si>
    <t>CAPITAL OUTLAY - VEHICLES</t>
  </si>
  <si>
    <t>10-10-5100-5500</t>
  </si>
  <si>
    <t>CAPITAL OUTLAY - EQUIPMENT</t>
  </si>
  <si>
    <t>CAPITAL OUTLAY - FACILITIES</t>
  </si>
  <si>
    <t>POLICE DEPARTMENT TOTAL</t>
  </si>
  <si>
    <t>FIRE DEPARTMENT</t>
  </si>
  <si>
    <t>10-10-5300-0020</t>
  </si>
  <si>
    <t>10-10-5300-0021</t>
  </si>
  <si>
    <t>10-10-5300-0022</t>
  </si>
  <si>
    <t>OVERTIME</t>
  </si>
  <si>
    <t>10-10-5300-1810</t>
  </si>
  <si>
    <t>10-10-5300-1820</t>
  </si>
  <si>
    <t>10-10-5300-1821</t>
  </si>
  <si>
    <t>10-10-5300-1822</t>
  </si>
  <si>
    <t>VOLUNTEER RETIREMENT</t>
  </si>
  <si>
    <t>10-10-5300-1830</t>
  </si>
  <si>
    <t>MEDICAL/DENTAL INSURANCE EXP</t>
  </si>
  <si>
    <t>10-10-5300-1860</t>
  </si>
  <si>
    <t>10-10-5300-2120</t>
  </si>
  <si>
    <t>10-10-5300-2500</t>
  </si>
  <si>
    <t>MISCELLANEOUS</t>
  </si>
  <si>
    <t>10-10-5300-2510</t>
  </si>
  <si>
    <t>GAS AND DIESEL EXPENSE</t>
  </si>
  <si>
    <t>10-10-5300-2600</t>
  </si>
  <si>
    <t>10-10-5300-2610</t>
  </si>
  <si>
    <t>OFFICE SUPPLIES</t>
  </si>
  <si>
    <t>10-10-5300-2710</t>
  </si>
  <si>
    <t>EMT SUPPLIES</t>
  </si>
  <si>
    <t>10-10-5300-2800</t>
  </si>
  <si>
    <t>10-10-5300-2810</t>
  </si>
  <si>
    <t>PPE</t>
  </si>
  <si>
    <t>10-10-5300-3100</t>
  </si>
  <si>
    <t>10-10-5300-3210</t>
  </si>
  <si>
    <t>10-10-5300-3310</t>
  </si>
  <si>
    <t>UTILITIES(ELECTRIC/GAS)</t>
  </si>
  <si>
    <t>10-10-5300-3510</t>
  </si>
  <si>
    <t>M &amp; R BUILDING/GROUNDS</t>
  </si>
  <si>
    <t>10-10-5300-3520</t>
  </si>
  <si>
    <t>10-10-5300-3530</t>
  </si>
  <si>
    <t>10-10-5300-3990</t>
  </si>
  <si>
    <t>REQUIRED HEALTH CERTIFICATIONS</t>
  </si>
  <si>
    <t>10-10-5300-7500</t>
  </si>
  <si>
    <t>10-10-5300-1840</t>
  </si>
  <si>
    <t>VOLUNTEER RECRUIT/RETENTION</t>
  </si>
  <si>
    <t>10-10-5300-2900</t>
  </si>
  <si>
    <t>EXPLORERS</t>
  </si>
  <si>
    <t>10-10-5300-4911</t>
  </si>
  <si>
    <t>10-10-5300-4400</t>
  </si>
  <si>
    <t>10-10-5300-5400</t>
  </si>
  <si>
    <t>CAPITAL OUTLAY TRUCK</t>
  </si>
  <si>
    <t>10-10-5300-5500</t>
  </si>
  <si>
    <t>10-10-5300-5800</t>
  </si>
  <si>
    <t>CAPITAL OUTLAY-BLDG.</t>
  </si>
  <si>
    <t>FIRE DEPARTMENT TOTAL</t>
  </si>
  <si>
    <t>RECREATION</t>
  </si>
  <si>
    <t>10-80-6300-0020</t>
  </si>
  <si>
    <t>SALARY</t>
  </si>
  <si>
    <t>10-80-6300-0021</t>
  </si>
  <si>
    <t>10-80-6300-1810</t>
  </si>
  <si>
    <t>10-80-6300-1820</t>
  </si>
  <si>
    <t>401K SUPPLEMENTAL RETIREMENT</t>
  </si>
  <si>
    <t>10-80-6300-1821</t>
  </si>
  <si>
    <t>10-80-6300-1830</t>
  </si>
  <si>
    <t>HOSPITAL/DENTAL INS</t>
  </si>
  <si>
    <t>10-80-6300-1860</t>
  </si>
  <si>
    <t>WORKER'S COMPENSATION</t>
  </si>
  <si>
    <t>10-80-6300-2120</t>
  </si>
  <si>
    <t>10-80-6300-2600</t>
  </si>
  <si>
    <t>10-80-6300-2610</t>
  </si>
  <si>
    <t>JANITORIAL SUPPLIES</t>
  </si>
  <si>
    <t>10-80-6300-2620</t>
  </si>
  <si>
    <t>10-80-6300-3100</t>
  </si>
  <si>
    <t>10-80-6300-3210</t>
  </si>
  <si>
    <t>10-80-6300-3310</t>
  </si>
  <si>
    <t>ELECTRICITY</t>
  </si>
  <si>
    <t>10-80-6300-3330</t>
  </si>
  <si>
    <t>UTILITIES (GAS AND WATER/SEWER)</t>
  </si>
  <si>
    <t>10-80-6300-3510</t>
  </si>
  <si>
    <t>M &amp; R BUILDINGS</t>
  </si>
  <si>
    <t>10-80-6300-3520</t>
  </si>
  <si>
    <t>10-80-6300-3530</t>
  </si>
  <si>
    <t>10-80-6300-3590</t>
  </si>
  <si>
    <t>M &amp; R GROUNDS</t>
  </si>
  <si>
    <t>10-80-6300-3990</t>
  </si>
  <si>
    <t>10-80-6300-3291</t>
  </si>
  <si>
    <t>10-80-6300-4910</t>
  </si>
  <si>
    <t>10-80-6300-2500</t>
  </si>
  <si>
    <t>BANK &amp; CREDIT CARD FEES</t>
  </si>
  <si>
    <t>10-80-6300-3930</t>
  </si>
  <si>
    <t>10-80-6300-4400</t>
  </si>
  <si>
    <t>10-80-6300-5000</t>
  </si>
  <si>
    <t>CAPITAL OUTLAY</t>
  </si>
  <si>
    <t>RECREATION TOTAL</t>
  </si>
  <si>
    <t>PUBLIC WORKS</t>
  </si>
  <si>
    <t>10-20-5500-0020</t>
  </si>
  <si>
    <t>10-20-5500-0021</t>
  </si>
  <si>
    <t>10-20-5500-0023</t>
  </si>
  <si>
    <t>10-20-5500-1810</t>
  </si>
  <si>
    <t>10-20-5500-1820</t>
  </si>
  <si>
    <t>10-20-5500-1821</t>
  </si>
  <si>
    <t>STATE RETIREMENT EXPENSES</t>
  </si>
  <si>
    <t>10-20-5500-1830</t>
  </si>
  <si>
    <t>MEDICAL/DENTAL INSURANCE</t>
  </si>
  <si>
    <t>10-20-5500-1860</t>
  </si>
  <si>
    <t>10-20-5500-2120</t>
  </si>
  <si>
    <t>10-20-5500-2510</t>
  </si>
  <si>
    <t>GAS &amp; DIESEL</t>
  </si>
  <si>
    <t>10-20-5500-2600</t>
  </si>
  <si>
    <t>10-20-5500-2620</t>
  </si>
  <si>
    <t>10-20-5500-2610</t>
  </si>
  <si>
    <t>SAFETY</t>
  </si>
  <si>
    <t>10-20-5500-3100</t>
  </si>
  <si>
    <t>10-20-5500-3210</t>
  </si>
  <si>
    <t>10-20-5500-3310</t>
  </si>
  <si>
    <t>10-20-5500-3330</t>
  </si>
  <si>
    <t>HEAT/GAS BLDG.</t>
  </si>
  <si>
    <t>10-20-5500-3390</t>
  </si>
  <si>
    <t>STREET LIGHTING EXPENSE</t>
  </si>
  <si>
    <t>10-20-5500-3510</t>
  </si>
  <si>
    <t>MAINT &amp; REPAIR BLDG &amp; GROUNDS</t>
  </si>
  <si>
    <t>10-20-5500-3520</t>
  </si>
  <si>
    <t>10-20-5500-3530</t>
  </si>
  <si>
    <t>10-20-5500-3590</t>
  </si>
  <si>
    <t>MAINTENANCE &amp; REPAIR STREETS</t>
  </si>
  <si>
    <t>10-20-5500-3591</t>
  </si>
  <si>
    <t>M &amp; R SIDEWALKS</t>
  </si>
  <si>
    <t>10-20-5500-3592</t>
  </si>
  <si>
    <t>ADA UPGRADES</t>
  </si>
  <si>
    <t>10-20-5500-7500</t>
  </si>
  <si>
    <t>10-30-5500-3394</t>
  </si>
  <si>
    <t>RECYCLING CARTS</t>
  </si>
  <si>
    <t>10-30-5500-3590</t>
  </si>
  <si>
    <t>CEMETERY MAINTENANCE</t>
  </si>
  <si>
    <t>10-30-5500-3390</t>
  </si>
  <si>
    <t>WEEKLY GARBAGE REMOVAL SERVICE</t>
  </si>
  <si>
    <t>10-30-5500-3392</t>
  </si>
  <si>
    <t>LANDFILL FEE (TIPPING FEES)</t>
  </si>
  <si>
    <t>10-30-5500-3393</t>
  </si>
  <si>
    <t>RECYCLING SERVICE</t>
  </si>
  <si>
    <t>10-30-5500-3991</t>
  </si>
  <si>
    <t>BULK GARBAGE REMOVAL SERVICE</t>
  </si>
  <si>
    <t>10-30-5500-3994</t>
  </si>
  <si>
    <t>HAZ WASTE/SHRED/LITTER SWEEP</t>
  </si>
  <si>
    <t>10-30-5500-3995</t>
  </si>
  <si>
    <t>YARD WASTE</t>
  </si>
  <si>
    <t>10-20-5500-3500</t>
  </si>
  <si>
    <t>MOWING/MAINT RIGHT OF WAY</t>
  </si>
  <si>
    <t>10-20-5500-6000</t>
  </si>
  <si>
    <t>10-20-5500-5300</t>
  </si>
  <si>
    <t>CAPITAL OUTLAY STREETS</t>
  </si>
  <si>
    <t>10-20-5500-5500</t>
  </si>
  <si>
    <t>CAPITAL OUTLAY EQUIP/LAND IMPR</t>
  </si>
  <si>
    <t>10-20-5500-5600</t>
  </si>
  <si>
    <t>CAPITAL OUTLAY SIDEWALKS</t>
  </si>
  <si>
    <t>10-20-5500-5800</t>
  </si>
  <si>
    <t>CAPITAL OUTLAY BUILDING</t>
  </si>
  <si>
    <t>10-30-5500-5900</t>
  </si>
  <si>
    <t>CAPITAL OUTLAY CEMETERY</t>
  </si>
  <si>
    <t>PUBLIC WORKS TOTAL</t>
  </si>
  <si>
    <t>GENERAL FUND TOTAL</t>
  </si>
  <si>
    <t>GENERAL FUND REVENUES</t>
  </si>
  <si>
    <t>GENERAL FUND EXPENDITURES</t>
  </si>
  <si>
    <t>Difference</t>
  </si>
  <si>
    <t>FEDERAL ASSET FORFEITURE FUND</t>
  </si>
  <si>
    <t>11-10-5100-5500</t>
  </si>
  <si>
    <t>FEDERAL ASSET FORFEITURE CAPITAL OUTLAY</t>
  </si>
  <si>
    <t>11-10-5110-7000</t>
  </si>
  <si>
    <t>FEDERAL ASSET FORFEITURE EXPENSE</t>
  </si>
  <si>
    <t>TOTAL</t>
  </si>
  <si>
    <t>FEDERAL ASSET FORFEITURE FUND REVENUE TOTAL</t>
  </si>
  <si>
    <t>FEDERAL ASSET FORFEITURE FUND EXPENSE TOTAL</t>
  </si>
  <si>
    <t>STATE DRUG FUNDS</t>
  </si>
  <si>
    <t>13-10-5110-7000</t>
  </si>
  <si>
    <t>STATE DRUG FUND EXPENSES</t>
  </si>
  <si>
    <t>POWELL BILL FUND</t>
  </si>
  <si>
    <t>21-21-5510-1900</t>
  </si>
  <si>
    <t>21-21-5510-2900</t>
  </si>
  <si>
    <t>SUPPLIES/MATERIALS</t>
  </si>
  <si>
    <t>21-21-5510-2920</t>
  </si>
  <si>
    <t>21-21-5510-3520</t>
  </si>
  <si>
    <t>21-21-5510-3530</t>
  </si>
  <si>
    <t>21-21-5510-2510</t>
  </si>
  <si>
    <t>21-21-5510-3540</t>
  </si>
  <si>
    <t>SNOW &amp; ICE REMOVAL</t>
  </si>
  <si>
    <t>21-21-5510-3590</t>
  </si>
  <si>
    <t>21-21-5510-5400</t>
  </si>
  <si>
    <t>CAPITAL OUTLAY VEHICLE</t>
  </si>
  <si>
    <t>21-21-5510-5500</t>
  </si>
  <si>
    <t>21-21-5510-5900</t>
  </si>
  <si>
    <t>21-21-5510-9910</t>
  </si>
  <si>
    <t>POWELL BILL CONTINGENCY/FUND BALANCE</t>
  </si>
  <si>
    <t>POWELL BILL FUND TOTAL</t>
  </si>
  <si>
    <t>POWELL BILL FUND REVENUES</t>
  </si>
  <si>
    <t>POWELL BILL FUND EXPENDITURES</t>
  </si>
  <si>
    <t>STORM WATER FUND</t>
  </si>
  <si>
    <t>20-30-5520-1900</t>
  </si>
  <si>
    <t>20-30-5520-2900</t>
  </si>
  <si>
    <t>20-30-5520-3510</t>
  </si>
  <si>
    <t>MAINT &amp; REPAIR</t>
  </si>
  <si>
    <t>20-30-5520-4910</t>
  </si>
  <si>
    <t>PERMITS &amp; DUES</t>
  </si>
  <si>
    <t>20-30-5520-5800</t>
  </si>
  <si>
    <t>20-30-5520-9910</t>
  </si>
  <si>
    <t>STORM WATER FUND TOTAL</t>
  </si>
  <si>
    <t>STORM WATER FUND REVENUES</t>
  </si>
  <si>
    <t>STORM WATER FUND EXPENDITURES</t>
  </si>
  <si>
    <t>WATER &amp; SEWER FUND</t>
  </si>
  <si>
    <t>61-91-7100-0020</t>
  </si>
  <si>
    <t>61-91-7100-0021</t>
  </si>
  <si>
    <t>61-91-7100-1810</t>
  </si>
  <si>
    <t>61-91-7100-1820</t>
  </si>
  <si>
    <t>61-91-7100-1821</t>
  </si>
  <si>
    <t>61-91-7100-1830</t>
  </si>
  <si>
    <t>61-91-7100-1860</t>
  </si>
  <si>
    <t>61-91-7100-2120</t>
  </si>
  <si>
    <t>61-91-7100-2500</t>
  </si>
  <si>
    <t>61-91-7100-2510</t>
  </si>
  <si>
    <t>61-91-7100-2800</t>
  </si>
  <si>
    <t>METERS</t>
  </si>
  <si>
    <t>61-91-7100-2810</t>
  </si>
  <si>
    <t>ELON UNIVERSITY METERS</t>
  </si>
  <si>
    <t>61-91-7100-2900</t>
  </si>
  <si>
    <t>61-91-7100-2920</t>
  </si>
  <si>
    <t>61-91-7100-3100</t>
  </si>
  <si>
    <t>61-91-7100-3250</t>
  </si>
  <si>
    <t>POSTAGE EXPENSE</t>
  </si>
  <si>
    <t>61-91-7100-3310</t>
  </si>
  <si>
    <t>UTILITIES</t>
  </si>
  <si>
    <t>61-91-7100-3520</t>
  </si>
  <si>
    <t>61-91-7100-3530</t>
  </si>
  <si>
    <t>61-91-7100-3591</t>
  </si>
  <si>
    <t>MAINTENANCE &amp; REPAIR SYSTEM</t>
  </si>
  <si>
    <t>61-91-7100-4910</t>
  </si>
  <si>
    <t>61-91-7100-7500</t>
  </si>
  <si>
    <t>61-91-7100-7502</t>
  </si>
  <si>
    <t>TRAVIS CREEK REPAYMENT</t>
  </si>
  <si>
    <t>61-91-7100-9910</t>
  </si>
  <si>
    <t>WATER AND SEWER CONTINGENCY</t>
  </si>
  <si>
    <t>61-91-7100-5400</t>
  </si>
  <si>
    <t>61-91-7100-5500</t>
  </si>
  <si>
    <t>61-91-7100-5800</t>
  </si>
  <si>
    <t>CAPITAL OUTLAY BUILDING &amp; GROUNDS</t>
  </si>
  <si>
    <t>61-91-7100-5900</t>
  </si>
  <si>
    <t>CAPITAL OUTLAY W &amp; S LINES</t>
  </si>
  <si>
    <t>61-91-7100-3340</t>
  </si>
  <si>
    <t>WATER FROM BURLINGTON</t>
  </si>
  <si>
    <t>61-91-7100-3341</t>
  </si>
  <si>
    <t>WATER FROM GIBSONVILLE</t>
  </si>
  <si>
    <t>61-91-7100-3350</t>
  </si>
  <si>
    <t>BURLINGTON SEWER-CHG</t>
  </si>
  <si>
    <t>61-91-7100-3351</t>
  </si>
  <si>
    <t>GIBSONVILLE SEWER-CHG</t>
  </si>
  <si>
    <t>61-91-7100-6000</t>
  </si>
  <si>
    <t>61-91-7100-6010</t>
  </si>
  <si>
    <t>M&amp;R Travis Creek Pump Station</t>
  </si>
  <si>
    <t>61-91-7100-1900</t>
  </si>
  <si>
    <t>61-91-7100-1901</t>
  </si>
  <si>
    <t>ENGINEERING WASTE WATER</t>
  </si>
  <si>
    <t>61-91-7100-1920</t>
  </si>
  <si>
    <t>61-91-7100-3400</t>
  </si>
  <si>
    <t>61-91-7100-3590</t>
  </si>
  <si>
    <t>MAINTENANCE &amp; REPAIR TANK</t>
  </si>
  <si>
    <t>61-91-7100-7700</t>
  </si>
  <si>
    <t>TRANS REVENUE TO CAP SYSTEM DEV FEE</t>
  </si>
  <si>
    <t>WATER &amp; SEWER FUND TOTAL</t>
  </si>
  <si>
    <t>W&amp;S FUND REVENUES</t>
  </si>
  <si>
    <t>W&amp;S FUND EXPENDITURES</t>
  </si>
  <si>
    <t>CAPITAL RESERVE SYSTEM DEV FEES FUND</t>
  </si>
  <si>
    <t>62-91-7100-7700</t>
  </si>
  <si>
    <t>TRANS TO W&amp;S CAPITAL</t>
  </si>
  <si>
    <t>62-91-7100-9910</t>
  </si>
  <si>
    <t>Contingency</t>
  </si>
  <si>
    <t>ENTERPRISE FUNDS TOTAL</t>
  </si>
  <si>
    <t>GRAND TOTAL ALL FUNDS</t>
  </si>
  <si>
    <t>GRAND TOTAL REVENUES</t>
  </si>
  <si>
    <t>GRAND TOTAL EXPEDITURES</t>
  </si>
  <si>
    <t>Total FY 22</t>
  </si>
  <si>
    <t>Dept Request FY 23</t>
  </si>
  <si>
    <t>Notes FY 22</t>
  </si>
  <si>
    <t>FY 23 Approved</t>
  </si>
  <si>
    <t>FY 23 Amend.</t>
  </si>
  <si>
    <t xml:space="preserve">FY 23 Total </t>
  </si>
  <si>
    <t>FY 24 Dept Request</t>
  </si>
  <si>
    <t>Notes</t>
  </si>
  <si>
    <t>Manager Rec. Budget</t>
  </si>
  <si>
    <t>Wage Benefit changes</t>
  </si>
  <si>
    <t>FY 22</t>
  </si>
  <si>
    <t>FY 23</t>
  </si>
  <si>
    <t>Capital Budget</t>
  </si>
  <si>
    <t>added Bang the Table ($10,900) &amp; Archive Social increase ($1,200)</t>
  </si>
  <si>
    <t>new software  and yearly fees for current software</t>
  </si>
  <si>
    <t>added security during current year</t>
  </si>
  <si>
    <t>2021 Municipal Election year - added extra expense per Kathy Holland at BoE</t>
  </si>
  <si>
    <t>signage, ads, newspaper, Our State, photography</t>
  </si>
  <si>
    <t>Downtown Update (50K); Farmers Mkt (15K); Williamson Design (100K)</t>
  </si>
  <si>
    <t>Phase 3 W. Lebanon parking (163K) Plaza (400K), Lee St (6K); Manning Ave (35K)</t>
  </si>
  <si>
    <t>Pam's salary + potential increase (6/1/21) + new Planner position at $50,000 for 9 months</t>
  </si>
  <si>
    <t>cost based on agreement w Burlington. Agreement runs thru 22/23; want to explore alt options prior to 22/23 budget</t>
  </si>
  <si>
    <t>budgeted for 24 hrs/week</t>
  </si>
  <si>
    <t>Small Area Plan for the Ball Park Community &amp; Highest and Best Use Study for 73 Acres</t>
  </si>
  <si>
    <t>design/ROW for W Trollinger sidewalk.</t>
  </si>
  <si>
    <r>
      <t xml:space="preserve">Includes incentive pay </t>
    </r>
    <r>
      <rPr>
        <b/>
        <sz val="11"/>
        <rFont val="Calibri"/>
        <family val="2"/>
      </rPr>
      <t>up to $29,700</t>
    </r>
  </si>
  <si>
    <t xml:space="preserve">Add Citizen Connect ($3,100), FTO/Training software($3,000) and Alarm Guard monthly fee ($400 annual), Lefta Shield, Verizon Connect for vehicles. </t>
  </si>
  <si>
    <t>purchase of portable radios and upgrade on zones</t>
  </si>
  <si>
    <t>partial paving around tower</t>
  </si>
  <si>
    <t>new position 1/2 year @ $35,000</t>
  </si>
  <si>
    <t>1/2 year</t>
  </si>
  <si>
    <t>LSP parking design and stormwater review</t>
  </si>
  <si>
    <t>BSP &amp; LSP storage 11500, 8000 &amp; 13000 &amp; BSP sidewalks 15000, Bike Track at LSP</t>
  </si>
  <si>
    <t>removed Univ Dr lights</t>
  </si>
  <si>
    <t>new line</t>
  </si>
  <si>
    <t>add another columbarium</t>
  </si>
  <si>
    <t>Possible purchase of Live Scan AFIS fingerprint system. New Cruiser</t>
  </si>
  <si>
    <t>Holt Ave. Stream Stabilization</t>
  </si>
  <si>
    <t>add PT front office 999 hrs @ $15/hr</t>
  </si>
  <si>
    <t>increase in online pymts</t>
  </si>
  <si>
    <t>monthly billing</t>
  </si>
  <si>
    <t>new cost for Travis Creek</t>
  </si>
  <si>
    <t>Spare pumps, Canopy mower</t>
  </si>
  <si>
    <t>Travis Creek &amp; Outfall &amp; Repairs to Station</t>
  </si>
  <si>
    <t>1% incr</t>
  </si>
  <si>
    <t>add full TC flow 1/2 year</t>
  </si>
  <si>
    <t>added I/I Study 125k &amp; regular request at 50k</t>
  </si>
  <si>
    <t>new line item</t>
  </si>
  <si>
    <t>APPROVED</t>
  </si>
  <si>
    <t>GENERAL FUND</t>
  </si>
  <si>
    <t>10-00-3100-1100</t>
  </si>
  <si>
    <t>TAXES CURRENT YEAR</t>
  </si>
  <si>
    <t>.35 rate</t>
  </si>
  <si>
    <t>10-00-3100-1110</t>
  </si>
  <si>
    <t>TAXES PRIOR YEARS</t>
  </si>
  <si>
    <t>10-00-3100-1600</t>
  </si>
  <si>
    <t>ALA COUNTY TAX PENALTIES</t>
  </si>
  <si>
    <t>10-00-3100-1700</t>
  </si>
  <si>
    <t>TAX PENALTIES &amp; INTEREST</t>
  </si>
  <si>
    <t>10-00-3100-1800</t>
  </si>
  <si>
    <t>VEHICLE TAX COLLECTION FEE</t>
  </si>
  <si>
    <t>10-00-3100-1900</t>
  </si>
  <si>
    <t>TAX DISCOUNTS</t>
  </si>
  <si>
    <t>10-00-3230-1600</t>
  </si>
  <si>
    <t>LOCAL OPTION SALES TAX</t>
  </si>
  <si>
    <t>10-00-3230-1620</t>
  </si>
  <si>
    <t>SOLID WASTE DISPOSAL TAX DIST</t>
  </si>
  <si>
    <t>10-00-3260-0000</t>
  </si>
  <si>
    <t>BUSINESS LICENSE - BEER &amp; WINE</t>
  </si>
  <si>
    <t>10-00-3280-1200</t>
  </si>
  <si>
    <t>VEHICLE TAXES</t>
  </si>
  <si>
    <t>10-00-3310-3000</t>
  </si>
  <si>
    <t>PROGRAM FUNDING AWARDS/GRANTS</t>
  </si>
  <si>
    <t>10-00-3322-1600</t>
  </si>
  <si>
    <t>BEER AND WINE TAX</t>
  </si>
  <si>
    <t>10-00-3324-1600</t>
  </si>
  <si>
    <t>UTILITIES FRANCHISE TAX</t>
  </si>
  <si>
    <t>10-10-3430-1600</t>
  </si>
  <si>
    <t>ABSS SRO Contract</t>
  </si>
  <si>
    <t>10-00-3710-8910</t>
  </si>
  <si>
    <t>OTHER FINANCING SOURCES</t>
  </si>
  <si>
    <t>10-00-3831-0000</t>
  </si>
  <si>
    <t>INTEREST EARNED ON INVESTMENTS</t>
  </si>
  <si>
    <t>10-00-3833-0000</t>
  </si>
  <si>
    <t>GF SUBSIDY FR ELON UNIVERSITY</t>
  </si>
  <si>
    <t>10-00-3838-0000</t>
  </si>
  <si>
    <t>PLAN REVIEW FEE</t>
  </si>
  <si>
    <t>10-00-3838-1000</t>
  </si>
  <si>
    <t>PLANNING/ZONING FEES</t>
  </si>
  <si>
    <t>10-00-3838-2000</t>
  </si>
  <si>
    <t>10-00-3838-3000</t>
  </si>
  <si>
    <t>10-00-3839-0000</t>
  </si>
  <si>
    <t>MISCELLANEOUS REVENUE</t>
  </si>
  <si>
    <t>FIRE INSPECTION</t>
  </si>
  <si>
    <t>10-10-3936-0000</t>
  </si>
  <si>
    <t>FIRE FLOW TESTING</t>
  </si>
  <si>
    <t>10-00-3839-1601</t>
  </si>
  <si>
    <t>GASOLINE TAX REFUND</t>
  </si>
  <si>
    <t>10-00-3839-4430</t>
  </si>
  <si>
    <t>NCDOT &amp; TWIN LAKES UNIV DR REIMB</t>
  </si>
  <si>
    <t>10-00-3900-0000</t>
  </si>
  <si>
    <t>SALE OF SURPLUS ITEMS</t>
  </si>
  <si>
    <t>10-00-3990-0030</t>
  </si>
  <si>
    <t>APPROP FUND BALANCE-RESTRICTED CEMETERY</t>
  </si>
  <si>
    <t>10-00-3990-0000</t>
  </si>
  <si>
    <t>APPROPRIATED FUND BALANCE</t>
  </si>
  <si>
    <t>$61,000 Rec, $285,000 police land</t>
  </si>
  <si>
    <t>10-00-3400-0000</t>
  </si>
  <si>
    <t>SPONSORSHIPS</t>
  </si>
  <si>
    <t>10-00-3839-1600</t>
  </si>
  <si>
    <t>SALES TAX REFUND</t>
  </si>
  <si>
    <t>10-10-3430-1700</t>
  </si>
  <si>
    <t>PARKING VIOLATION PENALTIES</t>
  </si>
  <si>
    <t>10-10-3833-0000</t>
  </si>
  <si>
    <t>EU CONTRIBUTION TO POLICE DEPT</t>
  </si>
  <si>
    <t>10-30-3471-0000</t>
  </si>
  <si>
    <t>SOLID WASTE CHARGES</t>
  </si>
  <si>
    <t>10-30-3472-0000</t>
  </si>
  <si>
    <t>BULK/BRUSH PICKUP</t>
  </si>
  <si>
    <t>10-30-3474-0000</t>
  </si>
  <si>
    <t>CEMETERY (LOTS SALES) REVENUE</t>
  </si>
  <si>
    <t>10-80-3612-0000</t>
  </si>
  <si>
    <t>REC FEES/SUBDIV/ELON PARK</t>
  </si>
  <si>
    <t>10-00-3834-0000</t>
  </si>
  <si>
    <t>ELON UNIV CONTR TO DWNTWN POSITION</t>
  </si>
  <si>
    <t>10-10-3100-1200</t>
  </si>
  <si>
    <t>FIRE DISTRICT TAX</t>
  </si>
  <si>
    <t>at current mil rate .11</t>
  </si>
  <si>
    <t>10-10-3100-1300</t>
  </si>
  <si>
    <t>FIRE TAX COLLECTION FEE</t>
  </si>
  <si>
    <t>10-10-3100-1400</t>
  </si>
  <si>
    <t>FIRE TAX INTEREST &amp; PENALTIES</t>
  </si>
  <si>
    <t>10-10-3834-0000</t>
  </si>
  <si>
    <t>ELON UNIV CONTR TO FIRE DEPT</t>
  </si>
  <si>
    <t>10-10-3835-0000</t>
  </si>
  <si>
    <t>TWIN LAKES CONTR TO FIRE DEPT</t>
  </si>
  <si>
    <t>21-22 Approved</t>
  </si>
  <si>
    <t>FY 23 Estimate</t>
  </si>
  <si>
    <t>11-10-3317-0000</t>
  </si>
  <si>
    <t>FEDERAL EQUITABLE SHARING REVENUE</t>
  </si>
  <si>
    <t>11-10-3900-0000</t>
  </si>
  <si>
    <t>11-10-3990-0000</t>
  </si>
  <si>
    <t>new cruiser - $30,000</t>
  </si>
  <si>
    <t>FEDERAL ASSET FORFEITURE FUND TOTAL</t>
  </si>
  <si>
    <t>13-10-3317-0000</t>
  </si>
  <si>
    <t>STATE DRUG REVENUE</t>
  </si>
  <si>
    <t>13-10-3990-0000</t>
  </si>
  <si>
    <t>STATE DRUG FUNDS TOTAL</t>
  </si>
  <si>
    <t>21-21-3316-0000</t>
  </si>
  <si>
    <t>POWELL BILL STATE ALLOCATION</t>
  </si>
  <si>
    <t>21-21-3831-0000</t>
  </si>
  <si>
    <t>INTEREST ON INVESTMENTS</t>
  </si>
  <si>
    <t>21-21-3839-1600</t>
  </si>
  <si>
    <t>21-21-3839-8900</t>
  </si>
  <si>
    <t>21-21-3900-0000</t>
  </si>
  <si>
    <t>21-21-3990-0000</t>
  </si>
  <si>
    <t>20-30-3471-0000</t>
  </si>
  <si>
    <t>STORM WATER FEE</t>
  </si>
  <si>
    <t>20-30-3839-1600</t>
  </si>
  <si>
    <t>20-30-3990-0000</t>
  </si>
  <si>
    <t>61-91-3710-5100</t>
  </si>
  <si>
    <t>GIBSONVILLE SEWER</t>
  </si>
  <si>
    <t>normal revenue &amp; 1/2 yr Travis Creek flow 2.5% incr</t>
  </si>
  <si>
    <t>61-91-3710-5102</t>
  </si>
  <si>
    <t>WATER CHARGES</t>
  </si>
  <si>
    <t>10% increase</t>
  </si>
  <si>
    <t>61-91-3710-5103</t>
  </si>
  <si>
    <t>SEWER CHARGES</t>
  </si>
  <si>
    <t>61-91-3710-5200</t>
  </si>
  <si>
    <t>TAPS AND CONNECTION FEES</t>
  </si>
  <si>
    <t>61-91-3710-5300</t>
  </si>
  <si>
    <t>SYSTEM FEES</t>
  </si>
  <si>
    <t>must be moved to capital reserve fund</t>
  </si>
  <si>
    <t>61-91-3710-5800</t>
  </si>
  <si>
    <t>RECONNECT FEES</t>
  </si>
  <si>
    <t>61-91-3710-5801</t>
  </si>
  <si>
    <t>LATE FEES AND CHARGES</t>
  </si>
  <si>
    <t>61-91-3710-6300</t>
  </si>
  <si>
    <t>WATER &amp; SEWER ASSESSMENTS</t>
  </si>
  <si>
    <t>61-91-3710-6301</t>
  </si>
  <si>
    <t>NONPETITION W/S ASSESSMENTS</t>
  </si>
  <si>
    <t>61-91-3710-6400</t>
  </si>
  <si>
    <t>INTEREST ON W&amp;S ASSESSMENTS</t>
  </si>
  <si>
    <t>61-91-3710-8900</t>
  </si>
  <si>
    <t>TC financing</t>
  </si>
  <si>
    <t>61-91-3831-0000</t>
  </si>
  <si>
    <t>61-91-3834-8600</t>
  </si>
  <si>
    <t>ANTENNA CO-LOCATION RENT</t>
  </si>
  <si>
    <t>61-91-3839-0000</t>
  </si>
  <si>
    <t>61-91-3839-0001</t>
  </si>
  <si>
    <t>FEDERAL GRANT</t>
  </si>
  <si>
    <t>61-91-3839-0002</t>
  </si>
  <si>
    <t>STATE GRANT/DENR</t>
  </si>
  <si>
    <t>61-91-3839-1600</t>
  </si>
  <si>
    <t>61-91-3900-0000</t>
  </si>
  <si>
    <t>61-91-3990-0000</t>
  </si>
  <si>
    <t>W/S RETAINED EARNINGS APPROP.</t>
  </si>
  <si>
    <t xml:space="preserve"> </t>
  </si>
  <si>
    <t>ARPA AND STATE COVID FUND</t>
  </si>
  <si>
    <t>21-22 Amended</t>
  </si>
  <si>
    <t>14-00-3316-0000</t>
  </si>
  <si>
    <t xml:space="preserve">ARPA </t>
  </si>
  <si>
    <t>50-91-3839-0000</t>
  </si>
  <si>
    <t>DEQ Funding</t>
  </si>
  <si>
    <t>ARPA AND STATE COVID FUND TOTAL</t>
  </si>
  <si>
    <t>TOTAL SEWER/SWATER REVENUE TOTAL</t>
  </si>
  <si>
    <t>62-91-3710-5300</t>
  </si>
  <si>
    <t>TRANS FROM W&amp;S SYSTEM DEV FEES</t>
  </si>
  <si>
    <t>62-91-3831-0000</t>
  </si>
  <si>
    <t>62-91-</t>
  </si>
  <si>
    <t>GRAND TOTAL FOR ALL FUNDS</t>
  </si>
  <si>
    <t>Amendments</t>
  </si>
  <si>
    <t>FY 21-22 Total</t>
  </si>
  <si>
    <t>FY 23 Amendments</t>
  </si>
  <si>
    <t>FY 23 Total</t>
  </si>
  <si>
    <t>3/832023</t>
  </si>
  <si>
    <t>FY 24 Dept. Request</t>
  </si>
  <si>
    <t>FY 24 Manager Rec.</t>
  </si>
  <si>
    <t>FY 25</t>
  </si>
  <si>
    <t>Dept Request</t>
  </si>
  <si>
    <t>FY 24 Amendments</t>
  </si>
  <si>
    <t>Total</t>
  </si>
  <si>
    <t>FY 24 Amend</t>
  </si>
  <si>
    <t xml:space="preserve">Notes </t>
  </si>
  <si>
    <t>Radio Lease</t>
  </si>
  <si>
    <t>Over spent the last 2 years</t>
  </si>
  <si>
    <t>Over spent last 2 years</t>
  </si>
  <si>
    <t>Quoted Price</t>
  </si>
  <si>
    <t>Estimating numbers based on this year and last year</t>
  </si>
  <si>
    <t>New Records Management System</t>
  </si>
  <si>
    <t>Will see an uptick for the PT Inspector</t>
  </si>
  <si>
    <t>Pay for the entire 24 hour shift</t>
  </si>
  <si>
    <t>Required Radio Upgrades, updated pagers, EV Fire Equipment</t>
  </si>
  <si>
    <t>7 year radio lease for new updated radios</t>
  </si>
  <si>
    <t>Site Plan development</t>
  </si>
  <si>
    <t>radios 65K, Car Cameras 40K, Other car cameras 19K</t>
  </si>
  <si>
    <t>Possibly two officers going back to school</t>
  </si>
  <si>
    <t>additional ammo, 2 rifles, 1 handgun</t>
  </si>
  <si>
    <t>hardware for install of vehicle computers</t>
  </si>
  <si>
    <t>lease for car computers, waiting on Fed funding for purchase</t>
  </si>
  <si>
    <t>YTD</t>
  </si>
  <si>
    <t>N Williamson streetscape design/construction plans</t>
  </si>
  <si>
    <t>Cap Fund Balance</t>
  </si>
  <si>
    <t>Admin vehicle cancelled from the previous budget - Cap Fund Balance</t>
  </si>
  <si>
    <t>3 new cars - Cap Fund Balance</t>
  </si>
  <si>
    <t>10-00-4400-3220</t>
  </si>
  <si>
    <t>10-00-4400-3230</t>
  </si>
  <si>
    <t>10-10-4400-3930</t>
  </si>
  <si>
    <t>ATT Lot, 104 N. Willliamson, copier, taxes</t>
  </si>
  <si>
    <t>$30,000 from occupancy tax rev.</t>
  </si>
  <si>
    <t>Per CIP, TBD</t>
  </si>
  <si>
    <t>Bond repayment</t>
  </si>
  <si>
    <t>DEQ loan repayment</t>
  </si>
  <si>
    <t>TBD</t>
  </si>
  <si>
    <t>3% increase from Burlington</t>
  </si>
  <si>
    <t>Mgr Notes</t>
  </si>
  <si>
    <t>$100K Fund Balance</t>
  </si>
  <si>
    <t>Plan for 5 hires</t>
  </si>
  <si>
    <t>3% increase from Gibsonville</t>
  </si>
  <si>
    <t>Move staff costs to Admin</t>
  </si>
  <si>
    <t>Increase from Council lines</t>
  </si>
  <si>
    <t>move to Admin</t>
  </si>
  <si>
    <t>move to admin</t>
  </si>
  <si>
    <t>FY 24</t>
  </si>
  <si>
    <t>Pers</t>
  </si>
  <si>
    <t>Operations</t>
  </si>
  <si>
    <t>Contracted</t>
  </si>
  <si>
    <t>Capital</t>
  </si>
  <si>
    <t>% increase</t>
  </si>
  <si>
    <t>$ increase</t>
  </si>
  <si>
    <t>reduced from 75K</t>
  </si>
  <si>
    <t>Corrected typo</t>
  </si>
  <si>
    <t>Cemetery Reserve Fund</t>
  </si>
  <si>
    <t>Reduced routine maint to $15K</t>
  </si>
  <si>
    <t>Increased by $20K to pay for second Columbarium</t>
  </si>
  <si>
    <t>Town Manager Proposed Budget 03/12/2024</t>
  </si>
  <si>
    <t>% of budget</t>
  </si>
  <si>
    <t>Manager Rec.</t>
  </si>
  <si>
    <t xml:space="preserve">FY 25 </t>
  </si>
  <si>
    <t>EU Contribution FY 24</t>
  </si>
  <si>
    <t>EU Contribution FY 25</t>
  </si>
  <si>
    <t>NOTE: March 12 represents 69.8% of the fiscal year</t>
  </si>
  <si>
    <t>% of Budget</t>
  </si>
  <si>
    <t>Spent</t>
  </si>
  <si>
    <t>21-21-5510-6000</t>
  </si>
  <si>
    <t>Fully incumbered for year</t>
  </si>
  <si>
    <t>Fully enc</t>
  </si>
  <si>
    <t>35K Grants, 15K Davenport, 400 Cavanaugh, 3.5K NeoGov</t>
  </si>
  <si>
    <t>NeoGov</t>
  </si>
  <si>
    <t>Equipment maint contract</t>
  </si>
  <si>
    <t>LOCAL OCCUPANCY TAXES</t>
  </si>
  <si>
    <t>LOCAL OCCUPANCY TAXES TOTAL</t>
  </si>
  <si>
    <t>EXPENSES</t>
  </si>
  <si>
    <t>MARKETING AND ADVERTISING</t>
  </si>
  <si>
    <t>ENTERPRISE ACCOUNTS</t>
  </si>
  <si>
    <t>OCCUPANCY TAX COLLECTION</t>
  </si>
  <si>
    <t>LOCAL OCCUPANCY TAXES EXPENSE TOTAL</t>
  </si>
  <si>
    <t>LOCAL OCCUPANCY TAXES REVENUE TOTAL</t>
  </si>
  <si>
    <t>Boot allowance, clothing</t>
  </si>
  <si>
    <t>PTRC, Chamber, SOG, NCLM, southern City, Zoom support</t>
  </si>
  <si>
    <t>3K from Occ Tax Fund</t>
  </si>
  <si>
    <t>2K from Occ Tax Fund</t>
  </si>
  <si>
    <t>20K From Occ Tax fund</t>
  </si>
  <si>
    <t>31K from Occ Tax Fund</t>
  </si>
  <si>
    <t>Municode</t>
  </si>
  <si>
    <t>GENERAL FUND TOTAL REVENUE</t>
  </si>
  <si>
    <t>SPECIAL FUNDS TOTAL REVENUE</t>
  </si>
  <si>
    <t>remove pump replacement</t>
  </si>
  <si>
    <t>computer purchases</t>
  </si>
  <si>
    <t>iPad replacement</t>
  </si>
  <si>
    <t>Fund Balance $347K</t>
  </si>
  <si>
    <t>Fund Balance $70K</t>
  </si>
  <si>
    <t>Fund Balance $88K</t>
  </si>
  <si>
    <t>Fund Balance $50K</t>
  </si>
  <si>
    <t>Fund Balance &amp;15K</t>
  </si>
  <si>
    <t>Fund Balance $180K</t>
  </si>
  <si>
    <t>Fund Balance Total</t>
  </si>
  <si>
    <t>NeoGov Training 10,381</t>
  </si>
  <si>
    <t>Grant support, Davenport, Cavanaugh, NeoGov</t>
  </si>
  <si>
    <t>COUNCIL SALARIES</t>
  </si>
  <si>
    <t>TOWN COUNCIL TOTAL</t>
  </si>
  <si>
    <t>Plan for 5 replacements</t>
  </si>
  <si>
    <t>Manager Recommended</t>
  </si>
  <si>
    <t>FY 24 Final</t>
  </si>
  <si>
    <t>FY 24 Final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</si>
</sst>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&quot;$&quot;#,##0.000"/>
    <numFmt numFmtId="167" formatCode="&quot;$&quot;#,##0.00;[Red]&quot;$&quot;#,##0.00"/>
    <numFmt numFmtId="168" formatCode="&quot;$&quot;#,##0;[Red]&quot;$&quot;#,##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Arial"/>
      <family val="2"/>
    </font>
    <font>
      <sz val="12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name val="Calibri"/>
      <family val="2"/>
      <scheme val="minor"/>
    </font>
    <font>
      <b/>
      <sz val="14"/>
      <name val="Arial"/>
      <family val="2"/>
    </font>
    <font>
      <sz val="11"/>
      <color rgb="FF00B0F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/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2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5" fillId="0" borderId="0" xfId="0" applyFont="1"/>
    <xf numFmtId="164" fontId="5" fillId="0" borderId="0" xfId="0" applyNumberFormat="1" applyFont="1"/>
    <xf numFmtId="6" fontId="5" fillId="0" borderId="0" xfId="0" applyNumberFormat="1" applyFont="1"/>
    <xf numFmtId="165" fontId="7" fillId="0" borderId="0" xfId="0" applyNumberFormat="1" applyFont="1"/>
    <xf numFmtId="164" fontId="7" fillId="0" borderId="0" xfId="0" applyNumberFormat="1" applyFont="1"/>
    <xf numFmtId="0" fontId="7" fillId="0" borderId="0" xfId="0" applyFont="1"/>
    <xf numFmtId="49" fontId="7" fillId="0" borderId="0" xfId="0" applyNumberFormat="1" applyFont="1"/>
    <xf numFmtId="6" fontId="7" fillId="0" borderId="0" xfId="0" applyNumberFormat="1" applyFont="1"/>
    <xf numFmtId="49" fontId="5" fillId="0" borderId="0" xfId="0" applyNumberFormat="1" applyFont="1"/>
    <xf numFmtId="166" fontId="5" fillId="0" borderId="0" xfId="0" applyNumberFormat="1" applyFont="1"/>
    <xf numFmtId="165" fontId="5" fillId="0" borderId="0" xfId="0" applyNumberFormat="1" applyFont="1"/>
    <xf numFmtId="164" fontId="2" fillId="0" borderId="0" xfId="0" applyNumberFormat="1" applyFont="1"/>
    <xf numFmtId="6" fontId="16" fillId="0" borderId="0" xfId="0" applyNumberFormat="1" applyFont="1"/>
    <xf numFmtId="6" fontId="2" fillId="0" borderId="0" xfId="0" applyNumberFormat="1" applyFont="1"/>
    <xf numFmtId="6" fontId="2" fillId="2" borderId="0" xfId="0" applyNumberFormat="1" applyFont="1" applyFill="1"/>
    <xf numFmtId="6" fontId="5" fillId="2" borderId="0" xfId="0" applyNumberFormat="1" applyFont="1" applyFill="1"/>
    <xf numFmtId="0" fontId="5" fillId="0" borderId="0" xfId="0" applyFont="1" applyAlignment="1">
      <alignment horizontal="left" wrapText="1"/>
    </xf>
    <xf numFmtId="0" fontId="17" fillId="0" borderId="0" xfId="0" applyFont="1"/>
    <xf numFmtId="164" fontId="5" fillId="3" borderId="0" xfId="0" applyNumberFormat="1" applyFont="1" applyFill="1"/>
    <xf numFmtId="165" fontId="11" fillId="0" borderId="0" xfId="0" applyNumberFormat="1" applyFont="1"/>
    <xf numFmtId="164" fontId="10" fillId="0" borderId="0" xfId="0" applyNumberFormat="1" applyFont="1"/>
    <xf numFmtId="6" fontId="10" fillId="0" borderId="0" xfId="0" applyNumberFormat="1" applyFont="1"/>
    <xf numFmtId="8" fontId="5" fillId="0" borderId="0" xfId="0" applyNumberFormat="1" applyFont="1"/>
    <xf numFmtId="165" fontId="14" fillId="0" borderId="0" xfId="0" applyNumberFormat="1" applyFont="1"/>
    <xf numFmtId="164" fontId="14" fillId="0" borderId="0" xfId="0" applyNumberFormat="1" applyFont="1"/>
    <xf numFmtId="165" fontId="5" fillId="0" borderId="0" xfId="1" applyNumberFormat="1" applyFont="1" applyFill="1"/>
    <xf numFmtId="6" fontId="14" fillId="0" borderId="0" xfId="0" applyNumberFormat="1" applyFont="1"/>
    <xf numFmtId="164" fontId="12" fillId="0" borderId="0" xfId="0" applyNumberFormat="1" applyFont="1"/>
    <xf numFmtId="165" fontId="12" fillId="0" borderId="1" xfId="0" applyNumberFormat="1" applyFont="1" applyBorder="1"/>
    <xf numFmtId="165" fontId="1" fillId="0" borderId="0" xfId="1" applyNumberFormat="1"/>
    <xf numFmtId="38" fontId="5" fillId="0" borderId="0" xfId="1" applyNumberFormat="1" applyFont="1"/>
    <xf numFmtId="38" fontId="5" fillId="0" borderId="0" xfId="1" applyNumberFormat="1" applyFont="1" applyFill="1"/>
    <xf numFmtId="38" fontId="16" fillId="0" borderId="0" xfId="1" applyNumberFormat="1" applyFont="1"/>
    <xf numFmtId="165" fontId="0" fillId="0" borderId="0" xfId="0" applyNumberFormat="1"/>
    <xf numFmtId="38" fontId="1" fillId="0" borderId="0" xfId="1" applyNumberFormat="1"/>
    <xf numFmtId="38" fontId="1" fillId="0" borderId="0" xfId="1" applyNumberForma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38" fontId="1" fillId="2" borderId="0" xfId="1" applyNumberFormat="1" applyFill="1"/>
    <xf numFmtId="165" fontId="5" fillId="0" borderId="0" xfId="1" applyNumberFormat="1" applyFont="1"/>
    <xf numFmtId="165" fontId="2" fillId="0" borderId="0" xfId="1" applyNumberFormat="1" applyFont="1"/>
    <xf numFmtId="0" fontId="1" fillId="0" borderId="0" xfId="1" applyNumberFormat="1"/>
    <xf numFmtId="0" fontId="0" fillId="9" borderId="0" xfId="0" applyFill="1"/>
    <xf numFmtId="38" fontId="16" fillId="2" borderId="0" xfId="1" applyNumberFormat="1" applyFont="1" applyFill="1"/>
    <xf numFmtId="165" fontId="12" fillId="0" borderId="0" xfId="1" applyNumberFormat="1" applyFont="1"/>
    <xf numFmtId="38" fontId="12" fillId="0" borderId="0" xfId="1" applyNumberFormat="1" applyFont="1"/>
    <xf numFmtId="38" fontId="19" fillId="0" borderId="0" xfId="1" applyNumberFormat="1" applyFont="1"/>
    <xf numFmtId="38" fontId="19" fillId="0" borderId="0" xfId="0" applyNumberFormat="1" applyFont="1"/>
    <xf numFmtId="165" fontId="7" fillId="0" borderId="0" xfId="0" applyNumberFormat="1" applyFont="1" applyAlignment="1">
      <alignment horizontal="center"/>
    </xf>
    <xf numFmtId="0" fontId="20" fillId="0" borderId="0" xfId="0" applyFont="1"/>
    <xf numFmtId="165" fontId="12" fillId="0" borderId="0" xfId="0" applyNumberFormat="1" applyFont="1"/>
    <xf numFmtId="165" fontId="20" fillId="0" borderId="0" xfId="1" applyNumberFormat="1" applyFont="1"/>
    <xf numFmtId="164" fontId="1" fillId="0" borderId="0" xfId="1" applyNumberFormat="1"/>
    <xf numFmtId="0" fontId="5" fillId="10" borderId="0" xfId="0" applyFont="1" applyFill="1"/>
    <xf numFmtId="165" fontId="1" fillId="11" borderId="0" xfId="1" applyNumberFormat="1" applyFill="1"/>
    <xf numFmtId="164" fontId="1" fillId="11" borderId="0" xfId="1" applyNumberFormat="1" applyFill="1"/>
    <xf numFmtId="0" fontId="0" fillId="10" borderId="0" xfId="0" applyFill="1"/>
    <xf numFmtId="164" fontId="5" fillId="0" borderId="0" xfId="1" applyNumberFormat="1" applyFont="1"/>
    <xf numFmtId="0" fontId="0" fillId="12" borderId="0" xfId="0" applyFill="1"/>
    <xf numFmtId="165" fontId="7" fillId="0" borderId="0" xfId="1" applyNumberFormat="1" applyFont="1"/>
    <xf numFmtId="165" fontId="3" fillId="0" borderId="0" xfId="1" applyNumberFormat="1" applyFont="1"/>
    <xf numFmtId="165" fontId="1" fillId="0" borderId="0" xfId="1" applyNumberFormat="1" applyFont="1"/>
    <xf numFmtId="165" fontId="0" fillId="0" borderId="0" xfId="1" applyNumberFormat="1" applyFont="1"/>
    <xf numFmtId="14" fontId="6" fillId="0" borderId="0" xfId="0" applyNumberFormat="1" applyFont="1"/>
    <xf numFmtId="6" fontId="0" fillId="0" borderId="0" xfId="0" applyNumberFormat="1"/>
    <xf numFmtId="164" fontId="0" fillId="0" borderId="0" xfId="0" applyNumberFormat="1"/>
    <xf numFmtId="38" fontId="0" fillId="0" borderId="0" xfId="0" applyNumberFormat="1"/>
    <xf numFmtId="0" fontId="0" fillId="0" borderId="0" xfId="0" applyAlignment="1">
      <alignment horizontal="center"/>
    </xf>
    <xf numFmtId="6" fontId="3" fillId="0" borderId="0" xfId="0" applyNumberFormat="1" applyFont="1"/>
    <xf numFmtId="164" fontId="3" fillId="0" borderId="0" xfId="0" applyNumberFormat="1" applyFont="1"/>
    <xf numFmtId="14" fontId="0" fillId="0" borderId="0" xfId="0" applyNumberFormat="1"/>
    <xf numFmtId="167" fontId="0" fillId="0" borderId="0" xfId="0" applyNumberFormat="1"/>
    <xf numFmtId="168" fontId="0" fillId="0" borderId="0" xfId="0" applyNumberFormat="1"/>
    <xf numFmtId="0" fontId="5" fillId="2" borderId="0" xfId="0" applyFont="1" applyFill="1"/>
    <xf numFmtId="165" fontId="5" fillId="2" borderId="0" xfId="0" applyNumberFormat="1" applyFont="1" applyFill="1"/>
    <xf numFmtId="164" fontId="5" fillId="2" borderId="0" xfId="0" applyNumberFormat="1" applyFont="1" applyFill="1"/>
    <xf numFmtId="0" fontId="0" fillId="2" borderId="0" xfId="0" applyFill="1"/>
    <xf numFmtId="6" fontId="0" fillId="2" borderId="0" xfId="0" applyNumberFormat="1" applyFill="1"/>
    <xf numFmtId="0" fontId="0" fillId="0" borderId="0" xfId="0" applyAlignment="1">
      <alignment wrapText="1"/>
    </xf>
    <xf numFmtId="6" fontId="0" fillId="3" borderId="0" xfId="0" applyNumberFormat="1" applyFill="1"/>
    <xf numFmtId="0" fontId="3" fillId="0" borderId="0" xfId="0" applyFont="1"/>
    <xf numFmtId="38" fontId="3" fillId="0" borderId="0" xfId="0" applyNumberFormat="1" applyFont="1"/>
    <xf numFmtId="14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6" fontId="0" fillId="0" borderId="0" xfId="0" applyNumberFormat="1" applyAlignment="1">
      <alignment wrapText="1"/>
    </xf>
    <xf numFmtId="168" fontId="3" fillId="0" borderId="0" xfId="0" applyNumberFormat="1" applyFont="1"/>
    <xf numFmtId="0" fontId="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Budget\FY%2024\Approved%20FY%2024%20Budget.xlsx" TargetMode="External"/><Relationship Id="rId1" Type="http://schemas.openxmlformats.org/officeDocument/2006/relationships/externalLinkPath" Target="file:///Z:\Budget\FY%2024\Approved%20FY%2024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venues"/>
      <sheetName val="Expenditures"/>
    </sheetNames>
    <sheetDataSet>
      <sheetData sheetId="0">
        <row r="47">
          <cell r="E47">
            <v>8335857</v>
          </cell>
          <cell r="F47"/>
          <cell r="G47">
            <v>9459304.8295000009</v>
          </cell>
          <cell r="M47">
            <v>10296807.5</v>
          </cell>
        </row>
        <row r="70">
          <cell r="E70">
            <v>455250</v>
          </cell>
          <cell r="K70">
            <v>445625</v>
          </cell>
        </row>
        <row r="76">
          <cell r="E76">
            <v>171000</v>
          </cell>
          <cell r="K76">
            <v>135000</v>
          </cell>
        </row>
        <row r="98">
          <cell r="K98">
            <v>5475084</v>
          </cell>
          <cell r="M98">
            <v>5696025.7000000002</v>
          </cell>
        </row>
        <row r="106">
          <cell r="E106"/>
        </row>
        <row r="118">
          <cell r="E118">
            <v>15571317</v>
          </cell>
          <cell r="G118">
            <v>18330388.429499999</v>
          </cell>
          <cell r="J118">
            <v>10539073</v>
          </cell>
          <cell r="K118">
            <v>16302996.109099999</v>
          </cell>
          <cell r="M118">
            <v>16608458.199999999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C7FAD-FA57-4646-9514-7012E4467F63}">
  <sheetPr>
    <pageSetUpPr fitToPage="1"/>
  </sheetPr>
  <dimension ref="A1:AH664"/>
  <sheetViews>
    <sheetView zoomScaleNormal="100" workbookViewId="0">
      <pane xSplit="2" ySplit="2" topLeftCell="C441" activePane="bottomRight" state="frozen"/>
      <selection pane="topRight" activeCell="C1" sqref="C1"/>
      <selection pane="bottomLeft" activeCell="A3" sqref="A3"/>
      <selection pane="bottomRight" activeCell="H1" sqref="H1:H1048576"/>
    </sheetView>
  </sheetViews>
  <sheetFormatPr defaultRowHeight="14.5" x14ac:dyDescent="0.35"/>
  <cols>
    <col min="1" max="1" width="15.08984375" style="2" customWidth="1"/>
    <col min="2" max="2" width="43.453125" style="2" customWidth="1"/>
    <col min="3" max="3" width="17.6328125" style="2" hidden="1" customWidth="1"/>
    <col min="4" max="4" width="0.36328125" style="17" customWidth="1"/>
    <col min="5" max="5" width="38.36328125" style="2" hidden="1" customWidth="1"/>
    <col min="6" max="6" width="17.08984375" style="17" hidden="1" customWidth="1"/>
    <col min="7" max="7" width="13.36328125" style="17" hidden="1" customWidth="1"/>
    <col min="8" max="8" width="15.36328125" style="17" hidden="1" customWidth="1"/>
    <col min="9" max="9" width="17.90625" style="17" hidden="1" customWidth="1"/>
    <col min="10" max="10" width="19.6328125" style="2" hidden="1" customWidth="1"/>
    <col min="11" max="11" width="20.36328125" style="2" hidden="1" customWidth="1"/>
    <col min="12" max="12" width="17.6328125" style="2" hidden="1" customWidth="1"/>
    <col min="13" max="13" width="29.6328125" style="2" hidden="1" customWidth="1"/>
    <col min="14" max="14" width="19.54296875" style="18" hidden="1" customWidth="1"/>
    <col min="15" max="15" width="18" hidden="1" customWidth="1"/>
    <col min="16" max="16" width="18" customWidth="1"/>
    <col min="17" max="18" width="12.1796875" hidden="1" customWidth="1"/>
    <col min="19" max="19" width="8.6328125" hidden="1" customWidth="1"/>
    <col min="20" max="20" width="21.1796875" style="84" customWidth="1"/>
    <col min="21" max="21" width="14.08984375" hidden="1" customWidth="1"/>
    <col min="22" max="22" width="22.36328125" customWidth="1"/>
    <col min="23" max="23" width="12.81640625" hidden="1" customWidth="1"/>
    <col min="24" max="25" width="0" hidden="1" customWidth="1"/>
    <col min="26" max="26" width="10.81640625" hidden="1" customWidth="1"/>
    <col min="27" max="27" width="12.1796875" hidden="1" customWidth="1"/>
    <col min="28" max="28" width="0" hidden="1" customWidth="1"/>
    <col min="29" max="29" width="12.453125" hidden="1" customWidth="1"/>
    <col min="30" max="30" width="10.90625" hidden="1" customWidth="1"/>
    <col min="31" max="35" width="0" hidden="1" customWidth="1"/>
  </cols>
  <sheetData>
    <row r="1" spans="1:31" ht="21" x14ac:dyDescent="0.5">
      <c r="A1" s="1" t="s">
        <v>776</v>
      </c>
      <c r="N1" s="18" t="s">
        <v>549</v>
      </c>
      <c r="P1" t="s">
        <v>824</v>
      </c>
      <c r="Q1" s="87" t="s">
        <v>741</v>
      </c>
      <c r="R1" s="87" t="s">
        <v>783</v>
      </c>
      <c r="T1" s="84" t="s">
        <v>719</v>
      </c>
      <c r="U1" s="87" t="s">
        <v>724</v>
      </c>
      <c r="V1" t="s">
        <v>719</v>
      </c>
      <c r="W1" t="s">
        <v>756</v>
      </c>
    </row>
    <row r="2" spans="1:31" x14ac:dyDescent="0.35">
      <c r="C2" s="19" t="s">
        <v>501</v>
      </c>
      <c r="D2" s="20" t="s">
        <v>502</v>
      </c>
      <c r="E2" s="19" t="s">
        <v>503</v>
      </c>
      <c r="F2" s="20" t="s">
        <v>504</v>
      </c>
      <c r="G2" s="20" t="s">
        <v>505</v>
      </c>
      <c r="H2" s="20" t="s">
        <v>506</v>
      </c>
      <c r="I2" s="21" t="s">
        <v>507</v>
      </c>
      <c r="J2" s="21"/>
      <c r="K2" s="21"/>
      <c r="L2" s="20"/>
      <c r="M2" s="22"/>
      <c r="N2" s="23" t="s">
        <v>509</v>
      </c>
      <c r="O2" t="s">
        <v>721</v>
      </c>
      <c r="P2" t="s">
        <v>722</v>
      </c>
      <c r="Q2" s="102">
        <v>45364</v>
      </c>
      <c r="R2" s="102" t="s">
        <v>784</v>
      </c>
      <c r="T2" s="84" t="s">
        <v>720</v>
      </c>
      <c r="V2" t="s">
        <v>823</v>
      </c>
    </row>
    <row r="3" spans="1:31" x14ac:dyDescent="0.35">
      <c r="C3" s="19"/>
      <c r="D3" s="20"/>
      <c r="E3" s="19"/>
      <c r="F3" s="20"/>
      <c r="G3" s="20"/>
      <c r="H3" s="20"/>
      <c r="I3" s="20"/>
      <c r="L3" s="17"/>
      <c r="M3" s="24"/>
      <c r="Q3" s="84"/>
    </row>
    <row r="4" spans="1:31" x14ac:dyDescent="0.35">
      <c r="A4" s="3" t="s">
        <v>0</v>
      </c>
      <c r="J4" s="25"/>
      <c r="L4" s="17"/>
      <c r="M4" s="17"/>
      <c r="Q4" s="84"/>
    </row>
    <row r="5" spans="1:31" x14ac:dyDescent="0.35">
      <c r="A5" s="2" t="s">
        <v>1</v>
      </c>
      <c r="B5" s="2" t="s">
        <v>2</v>
      </c>
      <c r="C5" s="26">
        <v>322000</v>
      </c>
      <c r="D5" s="17">
        <v>382013</v>
      </c>
      <c r="F5" s="17">
        <v>371449</v>
      </c>
      <c r="G5" s="17">
        <v>0</v>
      </c>
      <c r="H5" s="17">
        <f t="shared" ref="H5:H10" si="0">SUM(F5:G5)</f>
        <v>371449</v>
      </c>
      <c r="I5" s="17">
        <v>335873</v>
      </c>
      <c r="L5" s="17"/>
      <c r="M5" s="17"/>
      <c r="N5" s="18">
        <f>335873+0.51</f>
        <v>335873.51</v>
      </c>
      <c r="O5">
        <f>9308+9107</f>
        <v>18415</v>
      </c>
      <c r="P5" s="84">
        <f>N5+O5</f>
        <v>354288.51</v>
      </c>
      <c r="Q5" s="84">
        <v>230149</v>
      </c>
      <c r="R5">
        <v>64.959999999999994</v>
      </c>
      <c r="S5" s="84"/>
      <c r="T5" s="84">
        <v>423114</v>
      </c>
      <c r="V5" s="84">
        <v>500334</v>
      </c>
      <c r="W5" t="s">
        <v>761</v>
      </c>
      <c r="AA5" t="s">
        <v>719</v>
      </c>
      <c r="AC5" t="s">
        <v>764</v>
      </c>
      <c r="AD5" t="s">
        <v>770</v>
      </c>
      <c r="AE5" t="s">
        <v>769</v>
      </c>
    </row>
    <row r="6" spans="1:31" x14ac:dyDescent="0.35">
      <c r="A6" s="2" t="s">
        <v>3</v>
      </c>
      <c r="B6" s="2" t="s">
        <v>4</v>
      </c>
      <c r="C6" s="26">
        <v>24700</v>
      </c>
      <c r="D6" s="17">
        <v>29244</v>
      </c>
      <c r="F6" s="17">
        <v>28416</v>
      </c>
      <c r="G6" s="17">
        <v>0</v>
      </c>
      <c r="H6" s="17">
        <f t="shared" si="0"/>
        <v>28416</v>
      </c>
      <c r="I6" s="17">
        <v>25694.25266231893</v>
      </c>
      <c r="L6" s="17"/>
      <c r="M6" s="17"/>
      <c r="N6" s="18">
        <v>25694</v>
      </c>
      <c r="O6">
        <f>630+696</f>
        <v>1326</v>
      </c>
      <c r="P6" s="84">
        <f t="shared" ref="P6:P69" si="1">N6+O6</f>
        <v>27020</v>
      </c>
      <c r="Q6" s="84">
        <v>16619</v>
      </c>
      <c r="R6">
        <v>61.5</v>
      </c>
      <c r="S6" s="84"/>
      <c r="T6" s="84">
        <v>32368</v>
      </c>
      <c r="V6" s="84">
        <v>38276</v>
      </c>
      <c r="W6" t="s">
        <v>761</v>
      </c>
    </row>
    <row r="7" spans="1:31" x14ac:dyDescent="0.35">
      <c r="A7" s="2" t="s">
        <v>5</v>
      </c>
      <c r="B7" s="2" t="s">
        <v>6</v>
      </c>
      <c r="C7" s="26">
        <v>16200</v>
      </c>
      <c r="D7" s="17">
        <v>19101</v>
      </c>
      <c r="F7" s="17">
        <v>16386</v>
      </c>
      <c r="G7" s="17">
        <v>0</v>
      </c>
      <c r="H7" s="17">
        <f t="shared" si="0"/>
        <v>16386</v>
      </c>
      <c r="I7" s="17">
        <v>16586.886141682498</v>
      </c>
      <c r="L7" s="17"/>
      <c r="M7" s="17"/>
      <c r="N7" s="18">
        <v>16587</v>
      </c>
      <c r="O7">
        <f>462+455</f>
        <v>917</v>
      </c>
      <c r="P7" s="84">
        <f t="shared" si="1"/>
        <v>17504</v>
      </c>
      <c r="Q7" s="84">
        <v>10847</v>
      </c>
      <c r="R7">
        <v>61.97</v>
      </c>
      <c r="S7" s="84"/>
      <c r="T7" s="84">
        <v>20807</v>
      </c>
      <c r="V7" s="84">
        <v>24668</v>
      </c>
      <c r="W7" t="s">
        <v>761</v>
      </c>
      <c r="Z7" t="s">
        <v>765</v>
      </c>
      <c r="AA7" s="84">
        <f>SUM(V11+V62+V88+V122+V162+V204+V248+V286)</f>
        <v>6712577</v>
      </c>
      <c r="AC7" s="84">
        <f>SUM(P11+P62+P88+P122+P162+P204+P248+P286)</f>
        <v>6250261.5099999998</v>
      </c>
      <c r="AD7" s="84">
        <f>AA7-AC7</f>
        <v>462315.49000000022</v>
      </c>
      <c r="AE7">
        <f>(AA7-AC7)/AC7</f>
        <v>7.3967383486327157E-2</v>
      </c>
    </row>
    <row r="8" spans="1:31" x14ac:dyDescent="0.35">
      <c r="A8" s="2" t="s">
        <v>7</v>
      </c>
      <c r="B8" s="2" t="s">
        <v>8</v>
      </c>
      <c r="C8" s="26">
        <v>32800</v>
      </c>
      <c r="D8" s="17">
        <v>43091</v>
      </c>
      <c r="F8" s="17">
        <v>42547</v>
      </c>
      <c r="G8" s="17">
        <v>0</v>
      </c>
      <c r="H8" s="17">
        <f t="shared" si="0"/>
        <v>42547</v>
      </c>
      <c r="I8" s="17">
        <v>39139.628103893621</v>
      </c>
      <c r="L8" s="17"/>
      <c r="M8" s="17"/>
      <c r="N8" s="18">
        <v>39140</v>
      </c>
      <c r="O8">
        <f>1190+1173</f>
        <v>2363</v>
      </c>
      <c r="P8" s="84">
        <f t="shared" si="1"/>
        <v>41503</v>
      </c>
      <c r="Q8" s="84">
        <v>29666</v>
      </c>
      <c r="R8">
        <v>71.48</v>
      </c>
      <c r="S8" s="84"/>
      <c r="T8" s="84">
        <v>48664</v>
      </c>
      <c r="V8" s="84">
        <v>58008</v>
      </c>
      <c r="W8" t="s">
        <v>761</v>
      </c>
      <c r="Z8" t="s">
        <v>766</v>
      </c>
      <c r="AA8" s="84">
        <f>SUM(V30+V72+V104+V133+V179+V227+V266+V307)</f>
        <v>1450115</v>
      </c>
      <c r="AC8" s="84">
        <f>SUM(P30+P72+P104+P133+P179+P227+P266+P307)</f>
        <v>1512690</v>
      </c>
      <c r="AD8" s="84">
        <f>AA8-AC8</f>
        <v>-62575</v>
      </c>
      <c r="AE8">
        <f>(AA8-AC8)/AC8</f>
        <v>-4.1366704347883573E-2</v>
      </c>
    </row>
    <row r="9" spans="1:31" x14ac:dyDescent="0.35">
      <c r="A9" s="2" t="s">
        <v>9</v>
      </c>
      <c r="B9" s="2" t="s">
        <v>10</v>
      </c>
      <c r="C9" s="26">
        <v>30300</v>
      </c>
      <c r="D9" s="17">
        <v>41469</v>
      </c>
      <c r="F9" s="17">
        <v>39000</v>
      </c>
      <c r="G9" s="17">
        <v>0</v>
      </c>
      <c r="H9" s="17">
        <f t="shared" si="0"/>
        <v>39000</v>
      </c>
      <c r="I9" s="17">
        <v>33989.500000000007</v>
      </c>
      <c r="L9" s="17"/>
      <c r="M9" s="17"/>
      <c r="N9" s="18">
        <f>31763+1477+750</f>
        <v>33990</v>
      </c>
      <c r="P9" s="84">
        <f t="shared" si="1"/>
        <v>33990</v>
      </c>
      <c r="Q9" s="84">
        <v>14242</v>
      </c>
      <c r="R9">
        <v>41.9</v>
      </c>
      <c r="S9" s="84"/>
      <c r="T9" s="84">
        <v>32227</v>
      </c>
      <c r="V9" s="84">
        <v>32821</v>
      </c>
      <c r="W9" t="s">
        <v>761</v>
      </c>
      <c r="Z9" t="s">
        <v>767</v>
      </c>
      <c r="AA9" s="84">
        <f>SUM(V44+V76+V107+V143+V185+V230+V270+V317)</f>
        <v>1754480</v>
      </c>
      <c r="AC9" s="84">
        <f>SUM(P44+P76+P107+P143+P185+P230+P270+P317)</f>
        <v>1728668.5</v>
      </c>
      <c r="AD9" s="84">
        <f>AA9-AC9</f>
        <v>25811.5</v>
      </c>
      <c r="AE9">
        <f>(AA9-AC9)/AC9</f>
        <v>1.4931434222350902E-2</v>
      </c>
    </row>
    <row r="10" spans="1:31" x14ac:dyDescent="0.35">
      <c r="A10" s="2" t="s">
        <v>11</v>
      </c>
      <c r="B10" s="2" t="s">
        <v>12</v>
      </c>
      <c r="C10" s="26">
        <v>350</v>
      </c>
      <c r="D10" s="17">
        <v>375</v>
      </c>
      <c r="F10" s="17">
        <v>375</v>
      </c>
      <c r="G10" s="17">
        <v>0</v>
      </c>
      <c r="H10" s="17">
        <f t="shared" si="0"/>
        <v>375</v>
      </c>
      <c r="I10" s="17">
        <v>375</v>
      </c>
      <c r="J10" s="2" t="s">
        <v>510</v>
      </c>
      <c r="N10" s="18">
        <v>600</v>
      </c>
      <c r="P10" s="84">
        <f t="shared" si="1"/>
        <v>600</v>
      </c>
      <c r="Q10" s="84">
        <v>619</v>
      </c>
      <c r="R10">
        <v>103</v>
      </c>
      <c r="S10" s="84"/>
      <c r="T10" s="84">
        <v>750</v>
      </c>
      <c r="V10" s="84">
        <v>750</v>
      </c>
      <c r="W10" t="s">
        <v>761</v>
      </c>
      <c r="Z10" t="s">
        <v>768</v>
      </c>
      <c r="AA10" s="84">
        <f>SUM(V48+V110+V146+V190+V235+V273+V324)</f>
        <v>999694</v>
      </c>
      <c r="AC10" s="84">
        <f>SUM(P48+P110+P146+P190+P235+P273+P324)</f>
        <v>1212000</v>
      </c>
      <c r="AD10" s="84">
        <f>AA10-AC10</f>
        <v>-212306</v>
      </c>
      <c r="AE10">
        <f>(AA10-AC10)/AC10</f>
        <v>-0.17516996699669968</v>
      </c>
    </row>
    <row r="11" spans="1:31" x14ac:dyDescent="0.35">
      <c r="B11" s="4" t="s">
        <v>13</v>
      </c>
      <c r="C11" s="26">
        <v>426350</v>
      </c>
      <c r="D11" s="17">
        <f>SUM(D5:D10)</f>
        <v>515293</v>
      </c>
      <c r="F11" s="20">
        <f t="shared" ref="F11:N11" si="2">SUM(F5:F10)</f>
        <v>498173</v>
      </c>
      <c r="G11" s="17">
        <f t="shared" si="2"/>
        <v>0</v>
      </c>
      <c r="H11" s="20">
        <f t="shared" si="2"/>
        <v>498173</v>
      </c>
      <c r="I11" s="20">
        <f t="shared" si="2"/>
        <v>451658.26690789504</v>
      </c>
      <c r="J11" s="20">
        <f t="shared" si="2"/>
        <v>0</v>
      </c>
      <c r="K11" s="20">
        <f t="shared" si="2"/>
        <v>0</v>
      </c>
      <c r="L11" s="20">
        <f t="shared" si="2"/>
        <v>0</v>
      </c>
      <c r="M11" s="20">
        <f t="shared" si="2"/>
        <v>0</v>
      </c>
      <c r="N11" s="23">
        <f t="shared" si="2"/>
        <v>451884.51</v>
      </c>
      <c r="O11" s="20">
        <f>SUM(O5:O10)</f>
        <v>23021</v>
      </c>
      <c r="P11" s="88">
        <f t="shared" si="1"/>
        <v>474905.51</v>
      </c>
      <c r="Q11" s="84">
        <f>SUM(Q5:Q10)</f>
        <v>302142</v>
      </c>
      <c r="S11" s="88"/>
      <c r="T11" s="88">
        <f>SUM(T5:T10)</f>
        <v>557930</v>
      </c>
      <c r="V11" s="88">
        <f>SUM(V5:V10)</f>
        <v>654857</v>
      </c>
      <c r="AD11" s="84"/>
    </row>
    <row r="12" spans="1:31" x14ac:dyDescent="0.35">
      <c r="C12" s="26"/>
      <c r="J12" s="2" t="s">
        <v>511</v>
      </c>
      <c r="L12" s="2" t="s">
        <v>512</v>
      </c>
      <c r="P12" s="84"/>
      <c r="Q12" s="84"/>
      <c r="S12" s="84"/>
      <c r="V12" s="84"/>
      <c r="Z12" t="s">
        <v>722</v>
      </c>
      <c r="AA12" s="84">
        <f>SUM(AA7:AA11)</f>
        <v>10916866</v>
      </c>
      <c r="AC12" s="84">
        <f>SUM(AC7:AC11)</f>
        <v>10703620.01</v>
      </c>
      <c r="AD12" s="84">
        <f>AA12-AC12</f>
        <v>213245.99000000022</v>
      </c>
      <c r="AE12">
        <f t="shared" ref="AE12" si="3">(AA12-AC12)/AC12</f>
        <v>1.9922791522940117E-2</v>
      </c>
    </row>
    <row r="13" spans="1:31" x14ac:dyDescent="0.35">
      <c r="A13" s="2" t="s">
        <v>14</v>
      </c>
      <c r="B13" s="2" t="s">
        <v>15</v>
      </c>
      <c r="C13" s="26">
        <v>10000</v>
      </c>
      <c r="D13" s="17">
        <v>10000</v>
      </c>
      <c r="F13" s="17">
        <f>D13</f>
        <v>10000</v>
      </c>
      <c r="G13" s="17">
        <v>0</v>
      </c>
      <c r="H13" s="17">
        <f>SUM(F13:G13)</f>
        <v>10000</v>
      </c>
      <c r="I13" s="27">
        <v>10000</v>
      </c>
      <c r="J13" s="26">
        <f>A11+A62+A88+A122+A162+A204+A248+A286+A405</f>
        <v>0</v>
      </c>
      <c r="L13" s="26">
        <f>+D11+D62+D88+D122+D162+D204+D248+D286+D405</f>
        <v>8216377.8473999994</v>
      </c>
      <c r="N13" s="28">
        <v>10000</v>
      </c>
      <c r="P13" s="84">
        <f t="shared" si="1"/>
        <v>10000</v>
      </c>
      <c r="Q13" s="84">
        <v>1813</v>
      </c>
      <c r="R13">
        <v>18</v>
      </c>
      <c r="S13" s="84"/>
      <c r="T13" s="84">
        <v>5000</v>
      </c>
      <c r="V13" s="84">
        <v>5000</v>
      </c>
    </row>
    <row r="14" spans="1:31" x14ac:dyDescent="0.35">
      <c r="A14" s="2" t="s">
        <v>16</v>
      </c>
      <c r="B14" s="2" t="s">
        <v>17</v>
      </c>
      <c r="C14" s="26">
        <v>12500</v>
      </c>
      <c r="D14" s="17">
        <v>12500</v>
      </c>
      <c r="F14" s="17">
        <f>D14</f>
        <v>12500</v>
      </c>
      <c r="G14" s="17">
        <v>0</v>
      </c>
      <c r="H14" s="17">
        <f t="shared" ref="H14:H30" si="4">SUM(F14:G14)</f>
        <v>12500</v>
      </c>
      <c r="I14" s="17">
        <v>12500</v>
      </c>
      <c r="N14" s="18">
        <v>12500</v>
      </c>
      <c r="P14" s="84">
        <f t="shared" si="1"/>
        <v>12500</v>
      </c>
      <c r="Q14" s="84">
        <v>14429</v>
      </c>
      <c r="R14">
        <v>115</v>
      </c>
      <c r="S14" s="84"/>
      <c r="T14" s="84">
        <v>14000</v>
      </c>
      <c r="V14" s="84">
        <v>16000</v>
      </c>
      <c r="W14" t="s">
        <v>761</v>
      </c>
    </row>
    <row r="15" spans="1:31" x14ac:dyDescent="0.35">
      <c r="A15" s="2" t="s">
        <v>18</v>
      </c>
      <c r="B15" s="2" t="s">
        <v>19</v>
      </c>
      <c r="C15" s="26">
        <v>3000</v>
      </c>
      <c r="D15" s="17">
        <v>3000</v>
      </c>
      <c r="F15" s="17">
        <f>D15</f>
        <v>3000</v>
      </c>
      <c r="G15" s="17">
        <v>0</v>
      </c>
      <c r="H15" s="17">
        <f t="shared" si="4"/>
        <v>3000</v>
      </c>
      <c r="I15" s="17">
        <v>3000</v>
      </c>
      <c r="N15" s="18">
        <v>3000</v>
      </c>
      <c r="P15" s="84">
        <f t="shared" si="1"/>
        <v>3000</v>
      </c>
      <c r="Q15" s="84">
        <v>328</v>
      </c>
      <c r="R15">
        <v>10.96</v>
      </c>
      <c r="S15" s="84"/>
      <c r="T15" s="84">
        <v>3000</v>
      </c>
      <c r="V15" s="84">
        <v>3000</v>
      </c>
      <c r="W15" t="s">
        <v>809</v>
      </c>
      <c r="AA15" s="84"/>
    </row>
    <row r="16" spans="1:31" x14ac:dyDescent="0.35">
      <c r="A16" s="2" t="s">
        <v>20</v>
      </c>
      <c r="B16" s="2" t="s">
        <v>21</v>
      </c>
      <c r="C16" s="26">
        <v>3000</v>
      </c>
      <c r="D16" s="17">
        <v>3000</v>
      </c>
      <c r="F16" s="17">
        <f>D16</f>
        <v>3000</v>
      </c>
      <c r="G16" s="17">
        <v>0</v>
      </c>
      <c r="H16" s="17">
        <f t="shared" si="4"/>
        <v>3000</v>
      </c>
      <c r="I16" s="17">
        <v>3000</v>
      </c>
      <c r="N16" s="18">
        <v>2900</v>
      </c>
      <c r="P16" s="84">
        <f t="shared" si="1"/>
        <v>2900</v>
      </c>
      <c r="Q16" s="84">
        <v>1495</v>
      </c>
      <c r="R16">
        <v>51.53</v>
      </c>
      <c r="S16" s="84"/>
      <c r="T16" s="84">
        <v>2900</v>
      </c>
      <c r="V16" s="84">
        <v>2900</v>
      </c>
    </row>
    <row r="17" spans="1:34" x14ac:dyDescent="0.35">
      <c r="A17" s="2" t="s">
        <v>22</v>
      </c>
      <c r="B17" s="2" t="s">
        <v>23</v>
      </c>
      <c r="C17" s="26">
        <v>10000</v>
      </c>
      <c r="D17" s="17">
        <v>10000</v>
      </c>
      <c r="F17" s="17">
        <v>9000</v>
      </c>
      <c r="G17" s="17">
        <v>0</v>
      </c>
      <c r="H17" s="17">
        <f t="shared" si="4"/>
        <v>9000</v>
      </c>
      <c r="I17" s="17">
        <v>10000</v>
      </c>
      <c r="N17" s="29">
        <v>9500</v>
      </c>
      <c r="P17" s="84">
        <f t="shared" si="1"/>
        <v>9500</v>
      </c>
      <c r="Q17" s="84">
        <v>6224</v>
      </c>
      <c r="R17">
        <v>65.510000000000005</v>
      </c>
      <c r="S17" s="84"/>
      <c r="T17" s="84">
        <v>9500</v>
      </c>
      <c r="V17" s="84">
        <v>11000</v>
      </c>
      <c r="W17" t="s">
        <v>761</v>
      </c>
      <c r="Z17" t="s">
        <v>817</v>
      </c>
      <c r="AB17" s="84">
        <f>SUM(V106-25000+V187+V222+V232+V233-65000+V319+V321+V322)-6</f>
        <v>899994</v>
      </c>
    </row>
    <row r="18" spans="1:34" x14ac:dyDescent="0.35">
      <c r="A18" s="2" t="s">
        <v>24</v>
      </c>
      <c r="B18" s="2" t="s">
        <v>25</v>
      </c>
      <c r="C18" s="26">
        <v>10000</v>
      </c>
      <c r="D18" s="17">
        <v>10000</v>
      </c>
      <c r="F18" s="17">
        <v>10000</v>
      </c>
      <c r="G18" s="17">
        <v>0</v>
      </c>
      <c r="H18" s="17">
        <f t="shared" si="4"/>
        <v>10000</v>
      </c>
      <c r="I18" s="17">
        <v>10000</v>
      </c>
      <c r="N18" s="18">
        <v>10000</v>
      </c>
      <c r="P18" s="84">
        <f t="shared" si="1"/>
        <v>10000</v>
      </c>
      <c r="Q18" s="84">
        <v>9701</v>
      </c>
      <c r="R18">
        <v>97</v>
      </c>
      <c r="S18" s="84"/>
      <c r="T18" s="84">
        <v>10000</v>
      </c>
      <c r="V18" s="84">
        <v>10000</v>
      </c>
      <c r="W18" t="s">
        <v>789</v>
      </c>
      <c r="AH18" t="s">
        <v>818</v>
      </c>
    </row>
    <row r="19" spans="1:34" x14ac:dyDescent="0.35">
      <c r="A19" s="2" t="s">
        <v>26</v>
      </c>
      <c r="B19" s="2" t="s">
        <v>27</v>
      </c>
      <c r="C19" s="26">
        <v>4000</v>
      </c>
      <c r="D19" s="17">
        <v>4000</v>
      </c>
      <c r="F19" s="17">
        <f t="shared" ref="F19:F28" si="5">D19</f>
        <v>4000</v>
      </c>
      <c r="G19" s="17">
        <v>0</v>
      </c>
      <c r="H19" s="17">
        <f t="shared" si="4"/>
        <v>4000</v>
      </c>
      <c r="I19" s="17">
        <v>4000</v>
      </c>
      <c r="N19" s="18">
        <v>4000</v>
      </c>
      <c r="P19" s="84">
        <f t="shared" si="1"/>
        <v>4000</v>
      </c>
      <c r="Q19" s="84">
        <v>0</v>
      </c>
      <c r="S19" s="84"/>
      <c r="T19" s="84">
        <v>5000</v>
      </c>
      <c r="V19" s="84">
        <v>5000</v>
      </c>
    </row>
    <row r="20" spans="1:34" x14ac:dyDescent="0.35">
      <c r="A20" s="2" t="s">
        <v>28</v>
      </c>
      <c r="B20" s="2" t="s">
        <v>29</v>
      </c>
      <c r="C20" s="26">
        <v>7000</v>
      </c>
      <c r="D20" s="17">
        <v>7000</v>
      </c>
      <c r="F20" s="17">
        <f t="shared" si="5"/>
        <v>7000</v>
      </c>
      <c r="G20" s="17">
        <v>0</v>
      </c>
      <c r="H20" s="17">
        <f t="shared" si="4"/>
        <v>7000</v>
      </c>
      <c r="I20" s="17">
        <v>8000</v>
      </c>
      <c r="N20" s="18">
        <v>8000</v>
      </c>
      <c r="P20" s="84">
        <f t="shared" si="1"/>
        <v>8000</v>
      </c>
      <c r="Q20" s="84">
        <v>6546</v>
      </c>
      <c r="R20">
        <v>81.819999999999993</v>
      </c>
      <c r="S20" s="84"/>
      <c r="T20" s="84">
        <v>8000</v>
      </c>
      <c r="V20" s="84">
        <v>8000</v>
      </c>
    </row>
    <row r="21" spans="1:34" x14ac:dyDescent="0.35">
      <c r="A21" s="2" t="s">
        <v>30</v>
      </c>
      <c r="B21" s="2" t="s">
        <v>31</v>
      </c>
      <c r="C21" s="26">
        <v>17000</v>
      </c>
      <c r="D21" s="17">
        <v>17000</v>
      </c>
      <c r="F21" s="17">
        <f t="shared" si="5"/>
        <v>17000</v>
      </c>
      <c r="G21" s="17">
        <v>0</v>
      </c>
      <c r="H21" s="17">
        <f t="shared" si="4"/>
        <v>17000</v>
      </c>
      <c r="I21" s="27">
        <v>17000</v>
      </c>
      <c r="N21" s="18">
        <v>17000</v>
      </c>
      <c r="P21" s="84">
        <f t="shared" si="1"/>
        <v>17000</v>
      </c>
      <c r="Q21" s="84">
        <v>12222</v>
      </c>
      <c r="R21">
        <v>71.89</v>
      </c>
      <c r="S21" s="84"/>
      <c r="T21" s="84">
        <v>17000</v>
      </c>
      <c r="V21" s="84">
        <v>17600</v>
      </c>
      <c r="W21" t="s">
        <v>761</v>
      </c>
    </row>
    <row r="22" spans="1:34" x14ac:dyDescent="0.35">
      <c r="A22" s="2" t="s">
        <v>32</v>
      </c>
      <c r="B22" s="2" t="s">
        <v>33</v>
      </c>
      <c r="C22" s="26">
        <v>3500</v>
      </c>
      <c r="D22" s="17">
        <v>3500</v>
      </c>
      <c r="F22" s="17">
        <f t="shared" si="5"/>
        <v>3500</v>
      </c>
      <c r="G22" s="17">
        <v>0</v>
      </c>
      <c r="H22" s="17">
        <f t="shared" si="4"/>
        <v>3500</v>
      </c>
      <c r="I22" s="17">
        <v>4000</v>
      </c>
      <c r="L22" s="2" t="s">
        <v>511</v>
      </c>
      <c r="M22" s="2" t="s">
        <v>512</v>
      </c>
      <c r="N22" s="18">
        <v>4000</v>
      </c>
      <c r="P22" s="84">
        <f t="shared" si="1"/>
        <v>4000</v>
      </c>
      <c r="Q22" s="84">
        <v>3872</v>
      </c>
      <c r="R22">
        <v>96.79</v>
      </c>
      <c r="S22" s="84"/>
      <c r="T22" s="84">
        <v>5000</v>
      </c>
      <c r="V22" s="84">
        <v>6000</v>
      </c>
    </row>
    <row r="23" spans="1:34" x14ac:dyDescent="0.35">
      <c r="A23" s="2" t="s">
        <v>34</v>
      </c>
      <c r="B23" s="2" t="s">
        <v>35</v>
      </c>
      <c r="C23" s="26">
        <v>1000</v>
      </c>
      <c r="D23" s="17">
        <v>1000</v>
      </c>
      <c r="F23" s="17">
        <f t="shared" si="5"/>
        <v>1000</v>
      </c>
      <c r="G23" s="17">
        <v>0</v>
      </c>
      <c r="H23" s="17">
        <f t="shared" si="4"/>
        <v>1000</v>
      </c>
      <c r="I23" s="17">
        <v>1500</v>
      </c>
      <c r="K23" s="2" t="s">
        <v>513</v>
      </c>
      <c r="L23" s="26">
        <f>C109+C146+C190+C236+C274+C325-C324</f>
        <v>163000</v>
      </c>
      <c r="M23" s="17">
        <f>+F109+F145+F190+F235+F273+F324-F323</f>
        <v>975250</v>
      </c>
      <c r="N23" s="18">
        <v>1500</v>
      </c>
      <c r="P23" s="84">
        <f t="shared" si="1"/>
        <v>1500</v>
      </c>
      <c r="Q23" s="84">
        <v>223</v>
      </c>
      <c r="R23">
        <v>14.86</v>
      </c>
      <c r="S23" s="84"/>
      <c r="T23" s="84">
        <v>2000</v>
      </c>
      <c r="V23" s="84">
        <v>2000</v>
      </c>
    </row>
    <row r="24" spans="1:34" x14ac:dyDescent="0.35">
      <c r="A24" s="2" t="s">
        <v>36</v>
      </c>
      <c r="B24" s="2" t="s">
        <v>37</v>
      </c>
      <c r="C24" s="26">
        <v>7000</v>
      </c>
      <c r="D24" s="17">
        <v>7000</v>
      </c>
      <c r="F24" s="17">
        <f t="shared" si="5"/>
        <v>7000</v>
      </c>
      <c r="G24" s="17">
        <v>0</v>
      </c>
      <c r="H24" s="17">
        <f t="shared" si="4"/>
        <v>7000</v>
      </c>
      <c r="I24" s="17">
        <v>7000</v>
      </c>
      <c r="N24" s="18">
        <v>7000</v>
      </c>
      <c r="P24" s="84">
        <f t="shared" si="1"/>
        <v>7000</v>
      </c>
      <c r="Q24" s="84">
        <v>4304</v>
      </c>
      <c r="R24">
        <v>61.48</v>
      </c>
      <c r="S24" s="84"/>
      <c r="T24" s="84">
        <v>7500</v>
      </c>
      <c r="V24" s="84">
        <v>7500</v>
      </c>
    </row>
    <row r="25" spans="1:34" x14ac:dyDescent="0.35">
      <c r="A25" s="2" t="s">
        <v>38</v>
      </c>
      <c r="B25" s="2" t="s">
        <v>39</v>
      </c>
      <c r="C25" s="26">
        <v>7500</v>
      </c>
      <c r="D25" s="17">
        <v>7500</v>
      </c>
      <c r="F25" s="17">
        <f t="shared" si="5"/>
        <v>7500</v>
      </c>
      <c r="G25" s="17">
        <v>0</v>
      </c>
      <c r="H25" s="17">
        <f t="shared" si="4"/>
        <v>7500</v>
      </c>
      <c r="I25" s="17">
        <v>7500</v>
      </c>
      <c r="N25" s="29">
        <v>7000</v>
      </c>
      <c r="P25" s="84">
        <f t="shared" si="1"/>
        <v>7000</v>
      </c>
      <c r="Q25" s="84">
        <v>1969.61</v>
      </c>
      <c r="R25">
        <v>28</v>
      </c>
      <c r="S25" s="84"/>
      <c r="T25" s="84">
        <v>5000</v>
      </c>
      <c r="V25" s="84">
        <v>5000</v>
      </c>
    </row>
    <row r="26" spans="1:34" x14ac:dyDescent="0.35">
      <c r="A26" s="2" t="s">
        <v>40</v>
      </c>
      <c r="B26" s="2" t="s">
        <v>41</v>
      </c>
      <c r="C26" s="26">
        <v>5500</v>
      </c>
      <c r="D26" s="17">
        <v>5500</v>
      </c>
      <c r="F26" s="17">
        <f t="shared" si="5"/>
        <v>5500</v>
      </c>
      <c r="G26" s="17">
        <v>0</v>
      </c>
      <c r="H26" s="17">
        <f t="shared" si="4"/>
        <v>5500</v>
      </c>
      <c r="I26" s="17">
        <v>5500</v>
      </c>
      <c r="N26" s="18">
        <v>5500</v>
      </c>
      <c r="P26" s="84">
        <f t="shared" si="1"/>
        <v>5500</v>
      </c>
      <c r="Q26" s="84">
        <v>3267</v>
      </c>
      <c r="R26">
        <v>59.39</v>
      </c>
      <c r="S26" s="84"/>
      <c r="T26" s="84">
        <v>5500</v>
      </c>
      <c r="V26" s="84">
        <v>5500</v>
      </c>
    </row>
    <row r="27" spans="1:34" x14ac:dyDescent="0.35">
      <c r="A27" s="2" t="s">
        <v>42</v>
      </c>
      <c r="B27" s="2" t="s">
        <v>43</v>
      </c>
      <c r="C27" s="26">
        <v>3000</v>
      </c>
      <c r="D27" s="17">
        <v>3000</v>
      </c>
      <c r="F27" s="17">
        <f t="shared" si="5"/>
        <v>3000</v>
      </c>
      <c r="G27" s="17">
        <v>0</v>
      </c>
      <c r="H27" s="17">
        <f t="shared" si="4"/>
        <v>3000</v>
      </c>
      <c r="I27" s="17">
        <v>3000</v>
      </c>
      <c r="N27" s="29">
        <v>2500</v>
      </c>
      <c r="P27" s="84">
        <f t="shared" si="1"/>
        <v>2500</v>
      </c>
      <c r="Q27" s="84">
        <v>316</v>
      </c>
      <c r="R27">
        <v>12.64</v>
      </c>
      <c r="S27" s="84"/>
      <c r="T27" s="84">
        <v>2500</v>
      </c>
      <c r="V27" s="84">
        <v>2500</v>
      </c>
      <c r="W27" t="s">
        <v>790</v>
      </c>
    </row>
    <row r="28" spans="1:34" x14ac:dyDescent="0.35">
      <c r="A28" s="2" t="s">
        <v>44</v>
      </c>
      <c r="B28" s="2" t="s">
        <v>45</v>
      </c>
      <c r="C28" s="26">
        <v>10500</v>
      </c>
      <c r="D28" s="17">
        <v>10500</v>
      </c>
      <c r="F28" s="17">
        <f t="shared" si="5"/>
        <v>10500</v>
      </c>
      <c r="G28" s="17">
        <v>0</v>
      </c>
      <c r="H28" s="17">
        <f t="shared" si="4"/>
        <v>10500</v>
      </c>
      <c r="I28" s="27">
        <v>10500</v>
      </c>
      <c r="N28" s="29">
        <v>10000</v>
      </c>
      <c r="P28" s="84">
        <f t="shared" si="1"/>
        <v>10000</v>
      </c>
      <c r="Q28" s="84">
        <v>2356</v>
      </c>
      <c r="R28">
        <v>23.55</v>
      </c>
      <c r="S28" s="84"/>
      <c r="T28" s="84">
        <v>10000</v>
      </c>
      <c r="V28" s="84">
        <v>10000</v>
      </c>
    </row>
    <row r="29" spans="1:34" x14ac:dyDescent="0.35">
      <c r="A29" s="2" t="s">
        <v>46</v>
      </c>
      <c r="B29" s="2" t="s">
        <v>47</v>
      </c>
      <c r="C29" s="26"/>
      <c r="I29" s="27"/>
      <c r="N29" s="30">
        <v>63000</v>
      </c>
      <c r="P29" s="84">
        <f t="shared" si="1"/>
        <v>63000</v>
      </c>
      <c r="Q29" s="84">
        <v>0</v>
      </c>
      <c r="S29" s="84"/>
      <c r="T29" s="84">
        <v>0</v>
      </c>
      <c r="V29" s="84">
        <v>0</v>
      </c>
    </row>
    <row r="30" spans="1:34" x14ac:dyDescent="0.35">
      <c r="B30" s="5" t="s">
        <v>48</v>
      </c>
      <c r="C30" s="26">
        <v>114500</v>
      </c>
      <c r="D30" s="17">
        <f>SUM(D13:D28)</f>
        <v>114500</v>
      </c>
      <c r="F30" s="17">
        <f>SUM(F13:F28)</f>
        <v>113500</v>
      </c>
      <c r="G30" s="17">
        <v>0</v>
      </c>
      <c r="H30" s="20">
        <f t="shared" si="4"/>
        <v>113500</v>
      </c>
      <c r="I30" s="20">
        <f>SUM(I13:I28)</f>
        <v>116500</v>
      </c>
      <c r="J30" s="20">
        <f>SUM(J13:J28)</f>
        <v>0</v>
      </c>
      <c r="K30" s="20">
        <f>SUM(K13:K28)</f>
        <v>0</v>
      </c>
      <c r="L30" s="20">
        <f>SUM(L13:L28)</f>
        <v>8379377.8473999994</v>
      </c>
      <c r="M30" s="20">
        <f>SUM(M13:M28)</f>
        <v>975250</v>
      </c>
      <c r="N30" s="23">
        <f>SUM(N13:N29)</f>
        <v>177400</v>
      </c>
      <c r="O30">
        <v>0</v>
      </c>
      <c r="P30" s="88">
        <f t="shared" si="1"/>
        <v>177400</v>
      </c>
      <c r="Q30" s="84">
        <f>SUM(Q13:Q29)</f>
        <v>69065.61</v>
      </c>
      <c r="S30" s="88"/>
      <c r="T30" s="88">
        <f>SUM(T13:T29)</f>
        <v>111900</v>
      </c>
      <c r="V30" s="88">
        <f>SUM(V13:V29)</f>
        <v>117000</v>
      </c>
    </row>
    <row r="31" spans="1:34" x14ac:dyDescent="0.35">
      <c r="B31" s="5"/>
      <c r="C31" s="26"/>
      <c r="P31" s="84"/>
      <c r="Q31" s="84"/>
      <c r="S31" s="84"/>
      <c r="V31" s="84"/>
    </row>
    <row r="32" spans="1:34" x14ac:dyDescent="0.35">
      <c r="A32" s="2" t="s">
        <v>49</v>
      </c>
      <c r="B32" s="6" t="s">
        <v>50</v>
      </c>
      <c r="C32" s="26">
        <v>15500</v>
      </c>
      <c r="D32" s="17">
        <v>5000</v>
      </c>
      <c r="F32" s="17">
        <v>15000</v>
      </c>
      <c r="G32" s="17">
        <v>0</v>
      </c>
      <c r="H32" s="17">
        <f>SUM(F32:G32)</f>
        <v>15000</v>
      </c>
      <c r="I32" s="17">
        <v>0</v>
      </c>
      <c r="N32" s="18">
        <v>0</v>
      </c>
      <c r="P32" s="84">
        <f t="shared" si="1"/>
        <v>0</v>
      </c>
      <c r="Q32" s="84"/>
      <c r="S32" s="84"/>
      <c r="T32" s="84">
        <v>0</v>
      </c>
      <c r="V32" s="84">
        <v>0</v>
      </c>
    </row>
    <row r="33" spans="1:34" x14ac:dyDescent="0.35">
      <c r="A33" s="2" t="s">
        <v>51</v>
      </c>
      <c r="B33" s="2" t="s">
        <v>52</v>
      </c>
      <c r="C33" s="26">
        <v>6000</v>
      </c>
      <c r="D33" s="17">
        <v>15500</v>
      </c>
      <c r="E33" s="2" t="s">
        <v>514</v>
      </c>
      <c r="F33" s="17">
        <f>D33</f>
        <v>15500</v>
      </c>
      <c r="G33" s="17">
        <v>0</v>
      </c>
      <c r="H33" s="17">
        <f t="shared" ref="H33:H44" si="6">SUM(F33:G33)</f>
        <v>15500</v>
      </c>
      <c r="I33" s="17">
        <v>15500</v>
      </c>
      <c r="N33" s="31">
        <v>23500</v>
      </c>
      <c r="P33" s="84">
        <f t="shared" si="1"/>
        <v>23500</v>
      </c>
      <c r="Q33" s="84">
        <v>12890</v>
      </c>
      <c r="R33">
        <v>54.85</v>
      </c>
      <c r="S33" s="84"/>
      <c r="T33" s="84">
        <v>12000</v>
      </c>
      <c r="V33" s="84">
        <v>12000</v>
      </c>
    </row>
    <row r="34" spans="1:34" x14ac:dyDescent="0.35">
      <c r="A34" s="2" t="s">
        <v>53</v>
      </c>
      <c r="B34" s="6" t="s">
        <v>54</v>
      </c>
      <c r="C34" s="26">
        <v>30000</v>
      </c>
      <c r="D34" s="17">
        <v>6000</v>
      </c>
      <c r="F34" s="17">
        <f>D34</f>
        <v>6000</v>
      </c>
      <c r="G34" s="17">
        <v>0</v>
      </c>
      <c r="H34" s="17">
        <f t="shared" si="6"/>
        <v>6000</v>
      </c>
      <c r="I34" s="27">
        <v>6000</v>
      </c>
      <c r="N34" s="18">
        <v>6000</v>
      </c>
      <c r="P34" s="84">
        <f t="shared" si="1"/>
        <v>6000</v>
      </c>
      <c r="Q34" s="84">
        <v>4977</v>
      </c>
      <c r="R34">
        <v>4977</v>
      </c>
      <c r="S34" s="86">
        <v>83</v>
      </c>
      <c r="T34" s="84">
        <v>6000</v>
      </c>
      <c r="V34" s="84">
        <v>6000</v>
      </c>
    </row>
    <row r="35" spans="1:34" x14ac:dyDescent="0.35">
      <c r="A35" s="2" t="s">
        <v>55</v>
      </c>
      <c r="B35" s="2" t="s">
        <v>56</v>
      </c>
      <c r="C35" s="26">
        <v>30000</v>
      </c>
      <c r="D35" s="17">
        <v>38000</v>
      </c>
      <c r="F35" s="17">
        <f>D35</f>
        <v>38000</v>
      </c>
      <c r="G35" s="17">
        <v>0</v>
      </c>
      <c r="H35" s="17">
        <f t="shared" si="6"/>
        <v>38000</v>
      </c>
      <c r="I35" s="17">
        <v>40000</v>
      </c>
      <c r="N35" s="18">
        <v>48000</v>
      </c>
      <c r="P35" s="84">
        <f t="shared" si="1"/>
        <v>48000</v>
      </c>
      <c r="Q35" s="84">
        <v>32975</v>
      </c>
      <c r="R35">
        <v>72.86</v>
      </c>
      <c r="S35" s="84"/>
      <c r="T35" s="84">
        <v>48000</v>
      </c>
      <c r="V35" s="84">
        <v>45000</v>
      </c>
    </row>
    <row r="36" spans="1:34" x14ac:dyDescent="0.35">
      <c r="A36" s="2" t="s">
        <v>57</v>
      </c>
      <c r="B36" s="2" t="s">
        <v>58</v>
      </c>
      <c r="C36" s="26">
        <v>15000</v>
      </c>
      <c r="D36" s="17">
        <v>30000</v>
      </c>
      <c r="F36" s="17">
        <v>39000</v>
      </c>
      <c r="G36" s="17">
        <v>0</v>
      </c>
      <c r="H36" s="17">
        <f t="shared" si="6"/>
        <v>39000</v>
      </c>
      <c r="I36" s="17">
        <v>39000</v>
      </c>
      <c r="N36" s="18">
        <v>39000</v>
      </c>
      <c r="P36" s="84">
        <f t="shared" si="1"/>
        <v>39000</v>
      </c>
      <c r="Q36" s="84">
        <v>5940</v>
      </c>
      <c r="S36" s="84"/>
      <c r="T36" s="84">
        <v>60000</v>
      </c>
      <c r="U36" t="s">
        <v>786</v>
      </c>
      <c r="V36" s="84">
        <v>55000</v>
      </c>
    </row>
    <row r="37" spans="1:34" x14ac:dyDescent="0.35">
      <c r="A37" s="2" t="s">
        <v>49</v>
      </c>
      <c r="B37" s="2" t="s">
        <v>59</v>
      </c>
      <c r="C37" s="26">
        <v>5000</v>
      </c>
      <c r="D37" s="17">
        <v>15000</v>
      </c>
      <c r="F37" s="17">
        <v>13735</v>
      </c>
      <c r="G37" s="17">
        <v>0</v>
      </c>
      <c r="H37" s="17">
        <f t="shared" si="6"/>
        <v>13735</v>
      </c>
      <c r="I37" s="17">
        <f>15000+36000+14000</f>
        <v>65000</v>
      </c>
      <c r="N37" s="18">
        <v>41500</v>
      </c>
      <c r="P37" s="84">
        <f t="shared" si="1"/>
        <v>41500</v>
      </c>
      <c r="Q37" s="84">
        <v>6137</v>
      </c>
      <c r="S37" s="84"/>
      <c r="T37" s="84">
        <v>30000</v>
      </c>
      <c r="V37" s="84">
        <v>65000</v>
      </c>
      <c r="W37" t="s">
        <v>819</v>
      </c>
      <c r="AH37" t="s">
        <v>788</v>
      </c>
    </row>
    <row r="38" spans="1:34" x14ac:dyDescent="0.35">
      <c r="A38" s="2" t="s">
        <v>60</v>
      </c>
      <c r="B38" s="2" t="s">
        <v>61</v>
      </c>
      <c r="C38" s="26"/>
      <c r="D38" s="17">
        <v>5000</v>
      </c>
      <c r="F38" s="17">
        <f>D38</f>
        <v>5000</v>
      </c>
      <c r="G38" s="17">
        <v>0</v>
      </c>
      <c r="H38" s="17">
        <f t="shared" si="6"/>
        <v>5000</v>
      </c>
      <c r="I38" s="17">
        <v>5000</v>
      </c>
      <c r="N38" s="18">
        <v>5000</v>
      </c>
      <c r="P38" s="84">
        <f t="shared" si="1"/>
        <v>5000</v>
      </c>
      <c r="Q38" s="84">
        <v>3982</v>
      </c>
      <c r="R38">
        <v>79.63</v>
      </c>
      <c r="S38" s="84"/>
      <c r="T38" s="84">
        <v>5000</v>
      </c>
      <c r="V38" s="84">
        <v>5000</v>
      </c>
    </row>
    <row r="39" spans="1:34" x14ac:dyDescent="0.35">
      <c r="A39" s="2" t="s">
        <v>62</v>
      </c>
      <c r="B39" s="2" t="s">
        <v>63</v>
      </c>
      <c r="C39" s="26">
        <v>77000</v>
      </c>
      <c r="N39" s="29">
        <v>28348</v>
      </c>
      <c r="P39" s="84">
        <f t="shared" si="1"/>
        <v>28348</v>
      </c>
      <c r="Q39" s="84">
        <v>16900</v>
      </c>
      <c r="S39" s="84"/>
      <c r="T39" s="84">
        <v>29500</v>
      </c>
      <c r="V39" s="84">
        <v>29500</v>
      </c>
    </row>
    <row r="40" spans="1:34" x14ac:dyDescent="0.35">
      <c r="A40" s="2" t="s">
        <v>64</v>
      </c>
      <c r="B40" s="2" t="s">
        <v>65</v>
      </c>
      <c r="C40" s="26">
        <v>16000</v>
      </c>
      <c r="D40" s="17">
        <v>77000</v>
      </c>
      <c r="F40" s="17">
        <f>D40</f>
        <v>77000</v>
      </c>
      <c r="G40" s="17">
        <v>0</v>
      </c>
      <c r="H40" s="17">
        <f t="shared" si="6"/>
        <v>77000</v>
      </c>
      <c r="I40" s="27">
        <v>77000</v>
      </c>
      <c r="N40" s="18">
        <v>85000</v>
      </c>
      <c r="P40" s="84">
        <f t="shared" si="1"/>
        <v>85000</v>
      </c>
      <c r="Q40" s="84">
        <v>92952</v>
      </c>
      <c r="R40">
        <v>109.35</v>
      </c>
      <c r="S40" s="84"/>
      <c r="T40" s="84">
        <v>105000</v>
      </c>
      <c r="V40" s="84">
        <v>100000</v>
      </c>
    </row>
    <row r="41" spans="1:34" x14ac:dyDescent="0.35">
      <c r="A41" s="2" t="s">
        <v>66</v>
      </c>
      <c r="B41" s="2" t="s">
        <v>67</v>
      </c>
      <c r="C41" s="26">
        <v>135000</v>
      </c>
      <c r="D41" s="17">
        <v>16000</v>
      </c>
      <c r="F41" s="17">
        <f>D41</f>
        <v>16000</v>
      </c>
      <c r="G41" s="17">
        <v>0</v>
      </c>
      <c r="H41" s="17">
        <f t="shared" si="6"/>
        <v>16000</v>
      </c>
      <c r="I41" s="27">
        <v>16000</v>
      </c>
      <c r="N41" s="18">
        <v>16000</v>
      </c>
      <c r="P41" s="84">
        <f t="shared" si="1"/>
        <v>16000</v>
      </c>
      <c r="Q41" s="84">
        <v>10128</v>
      </c>
      <c r="S41" s="84"/>
      <c r="T41" s="84">
        <v>16800</v>
      </c>
      <c r="V41" s="84">
        <v>16800</v>
      </c>
    </row>
    <row r="42" spans="1:34" x14ac:dyDescent="0.35">
      <c r="A42" s="2" t="s">
        <v>68</v>
      </c>
      <c r="B42" s="2" t="s">
        <v>69</v>
      </c>
      <c r="C42" s="26">
        <v>91000</v>
      </c>
      <c r="D42" s="17">
        <v>135000</v>
      </c>
      <c r="E42" s="2" t="s">
        <v>515</v>
      </c>
      <c r="F42" s="17">
        <f>D42</f>
        <v>135000</v>
      </c>
      <c r="G42" s="17">
        <v>0</v>
      </c>
      <c r="H42" s="17">
        <f t="shared" si="6"/>
        <v>135000</v>
      </c>
      <c r="I42" s="27">
        <v>135000</v>
      </c>
      <c r="N42" s="18">
        <v>135000</v>
      </c>
      <c r="P42" s="84">
        <f t="shared" si="1"/>
        <v>135000</v>
      </c>
      <c r="Q42" s="84">
        <v>31217</v>
      </c>
      <c r="R42">
        <v>23.12</v>
      </c>
      <c r="S42" s="84"/>
      <c r="T42" s="84">
        <v>45000</v>
      </c>
      <c r="V42" s="84">
        <v>45000</v>
      </c>
    </row>
    <row r="43" spans="1:34" x14ac:dyDescent="0.35">
      <c r="A43" s="2" t="s">
        <v>70</v>
      </c>
      <c r="B43" s="2" t="s">
        <v>71</v>
      </c>
      <c r="C43" s="26">
        <v>425500</v>
      </c>
      <c r="D43" s="17">
        <v>91000</v>
      </c>
      <c r="E43" s="2" t="s">
        <v>516</v>
      </c>
      <c r="F43" s="17">
        <f>D43</f>
        <v>91000</v>
      </c>
      <c r="G43" s="17">
        <v>0</v>
      </c>
      <c r="H43" s="17">
        <f t="shared" si="6"/>
        <v>91000</v>
      </c>
      <c r="I43" s="27">
        <v>91000</v>
      </c>
      <c r="N43" s="31">
        <v>92000</v>
      </c>
      <c r="P43" s="84">
        <f t="shared" si="1"/>
        <v>92000</v>
      </c>
      <c r="Q43" s="84">
        <v>83465</v>
      </c>
      <c r="S43" s="84"/>
      <c r="T43" s="84">
        <v>93000</v>
      </c>
      <c r="V43" s="84">
        <f>93000+27500</f>
        <v>120500</v>
      </c>
    </row>
    <row r="44" spans="1:34" x14ac:dyDescent="0.35">
      <c r="B44" s="4" t="s">
        <v>72</v>
      </c>
      <c r="C44" s="26"/>
      <c r="D44" s="17">
        <f>SUM(D32:D43)</f>
        <v>433500</v>
      </c>
      <c r="F44" s="20">
        <f>SUM(F32:F43)</f>
        <v>451235</v>
      </c>
      <c r="G44" s="17">
        <v>0</v>
      </c>
      <c r="H44" s="20">
        <f t="shared" si="6"/>
        <v>451235</v>
      </c>
      <c r="I44" s="20">
        <f t="shared" ref="I44:N44" si="7">SUM(I32:I43)</f>
        <v>489500</v>
      </c>
      <c r="J44" s="20">
        <f t="shared" si="7"/>
        <v>0</v>
      </c>
      <c r="K44" s="20">
        <f t="shared" si="7"/>
        <v>0</v>
      </c>
      <c r="L44" s="20">
        <f t="shared" si="7"/>
        <v>0</v>
      </c>
      <c r="M44" s="20">
        <f t="shared" si="7"/>
        <v>0</v>
      </c>
      <c r="N44" s="23">
        <f t="shared" si="7"/>
        <v>519348</v>
      </c>
      <c r="O44">
        <v>0</v>
      </c>
      <c r="P44" s="88">
        <f t="shared" si="1"/>
        <v>519348</v>
      </c>
      <c r="Q44" s="84">
        <f>SUM(Q32:Q43)</f>
        <v>301563</v>
      </c>
      <c r="S44" s="88"/>
      <c r="T44" s="88">
        <f>SUM(T32:T43)</f>
        <v>450300</v>
      </c>
      <c r="V44" s="88">
        <f>SUM(V32:V43)</f>
        <v>499800</v>
      </c>
    </row>
    <row r="45" spans="1:34" x14ac:dyDescent="0.35">
      <c r="B45" s="5"/>
      <c r="C45" s="26">
        <v>0</v>
      </c>
      <c r="P45" s="84"/>
      <c r="Q45" s="84"/>
      <c r="S45" s="84"/>
      <c r="V45" s="84"/>
    </row>
    <row r="46" spans="1:34" x14ac:dyDescent="0.35">
      <c r="A46" s="2" t="s">
        <v>73</v>
      </c>
      <c r="B46" s="2" t="s">
        <v>74</v>
      </c>
      <c r="C46" s="26">
        <v>0</v>
      </c>
      <c r="D46" s="17">
        <v>0</v>
      </c>
      <c r="F46" s="17">
        <v>0</v>
      </c>
      <c r="G46" s="17">
        <v>0</v>
      </c>
      <c r="H46" s="17">
        <f>SUM(F46:G46)</f>
        <v>0</v>
      </c>
      <c r="I46" s="17">
        <v>0</v>
      </c>
      <c r="N46" s="18">
        <v>0</v>
      </c>
      <c r="P46" s="84">
        <f t="shared" si="1"/>
        <v>0</v>
      </c>
      <c r="Q46" s="84"/>
      <c r="S46" s="84"/>
      <c r="T46" s="84">
        <v>0</v>
      </c>
      <c r="V46" s="84">
        <v>0</v>
      </c>
    </row>
    <row r="47" spans="1:34" x14ac:dyDescent="0.35">
      <c r="A47" s="2" t="s">
        <v>75</v>
      </c>
      <c r="B47" s="2" t="s">
        <v>76</v>
      </c>
      <c r="C47" s="26">
        <v>0</v>
      </c>
      <c r="D47" s="17">
        <v>0</v>
      </c>
      <c r="F47" s="17">
        <v>0</v>
      </c>
      <c r="G47" s="17">
        <v>0</v>
      </c>
      <c r="H47" s="17">
        <f>SUM(F47:G47)</f>
        <v>0</v>
      </c>
      <c r="I47" s="17">
        <v>0</v>
      </c>
      <c r="N47" s="18">
        <v>0</v>
      </c>
      <c r="P47" s="84">
        <f t="shared" si="1"/>
        <v>0</v>
      </c>
      <c r="Q47" s="84"/>
      <c r="S47" s="84"/>
      <c r="V47" s="84"/>
    </row>
    <row r="48" spans="1:34" x14ac:dyDescent="0.35">
      <c r="B48" s="5" t="s">
        <v>77</v>
      </c>
      <c r="C48" s="26"/>
      <c r="D48" s="17">
        <f>SUM(D46:D47)</f>
        <v>0</v>
      </c>
      <c r="F48" s="20">
        <v>0</v>
      </c>
      <c r="G48" s="17">
        <v>0</v>
      </c>
      <c r="H48" s="20">
        <f>SUM(F48:G48)</f>
        <v>0</v>
      </c>
      <c r="I48" s="20">
        <f t="shared" ref="I48:N48" si="8">SUM(I46:I47)</f>
        <v>0</v>
      </c>
      <c r="J48" s="20">
        <f t="shared" si="8"/>
        <v>0</v>
      </c>
      <c r="K48" s="20">
        <f t="shared" si="8"/>
        <v>0</v>
      </c>
      <c r="L48" s="20">
        <f t="shared" si="8"/>
        <v>0</v>
      </c>
      <c r="M48" s="20">
        <f t="shared" si="8"/>
        <v>0</v>
      </c>
      <c r="N48" s="23">
        <f t="shared" si="8"/>
        <v>0</v>
      </c>
      <c r="O48">
        <v>0</v>
      </c>
      <c r="P48" s="88">
        <f t="shared" si="1"/>
        <v>0</v>
      </c>
      <c r="Q48" s="84"/>
      <c r="S48" s="88"/>
      <c r="T48" s="88">
        <f>SUM(T46:T47)</f>
        <v>0</v>
      </c>
      <c r="V48" s="88">
        <f>SUM(V46:V47)</f>
        <v>0</v>
      </c>
    </row>
    <row r="49" spans="1:23" x14ac:dyDescent="0.35">
      <c r="B49" s="5"/>
      <c r="C49" s="26">
        <v>20000</v>
      </c>
      <c r="P49" s="84"/>
      <c r="Q49" s="84"/>
      <c r="S49" s="84"/>
      <c r="V49" s="84"/>
    </row>
    <row r="50" spans="1:23" x14ac:dyDescent="0.35">
      <c r="A50" s="2" t="s">
        <v>78</v>
      </c>
      <c r="B50" s="7" t="s">
        <v>79</v>
      </c>
      <c r="C50" s="26"/>
      <c r="D50" s="17">
        <v>20000</v>
      </c>
      <c r="F50" s="17">
        <v>20000</v>
      </c>
      <c r="G50" s="17">
        <v>0</v>
      </c>
      <c r="H50" s="17">
        <v>20000</v>
      </c>
      <c r="I50" s="17">
        <v>20000</v>
      </c>
      <c r="N50" s="18">
        <v>20000</v>
      </c>
      <c r="O50">
        <v>0</v>
      </c>
      <c r="P50" s="88">
        <f t="shared" si="1"/>
        <v>20000</v>
      </c>
      <c r="Q50" s="84">
        <v>20000</v>
      </c>
      <c r="R50">
        <v>100</v>
      </c>
      <c r="S50" s="88"/>
      <c r="T50" s="88">
        <v>20000</v>
      </c>
      <c r="U50" t="s">
        <v>787</v>
      </c>
      <c r="V50" s="88">
        <v>20000</v>
      </c>
    </row>
    <row r="51" spans="1:23" x14ac:dyDescent="0.35">
      <c r="B51" s="5"/>
      <c r="C51" s="26">
        <v>986350</v>
      </c>
      <c r="P51" s="84"/>
      <c r="Q51" s="84"/>
      <c r="S51" s="84"/>
      <c r="V51" s="84"/>
    </row>
    <row r="52" spans="1:23" x14ac:dyDescent="0.35">
      <c r="B52" s="5" t="s">
        <v>80</v>
      </c>
      <c r="C52" s="26"/>
      <c r="D52" s="17">
        <f>D11+D30+D44+D48+D50</f>
        <v>1083293</v>
      </c>
      <c r="E52" s="17">
        <f>E11+E30+E44+E48+E50</f>
        <v>0</v>
      </c>
      <c r="F52" s="17">
        <f>F11+F30+F44+F48+F50</f>
        <v>1082908</v>
      </c>
      <c r="G52" s="17">
        <f>G11+G30+G44+G48+G50</f>
        <v>0</v>
      </c>
      <c r="H52" s="20">
        <f>SUM(F52:G52)</f>
        <v>1082908</v>
      </c>
      <c r="I52" s="20">
        <f t="shared" ref="I52:N52" si="9">I11+I30+I44+I48+I50</f>
        <v>1077658.266907895</v>
      </c>
      <c r="J52" s="20">
        <f t="shared" si="9"/>
        <v>0</v>
      </c>
      <c r="K52" s="20">
        <f t="shared" si="9"/>
        <v>0</v>
      </c>
      <c r="L52" s="20">
        <f t="shared" si="9"/>
        <v>8379377.8473999994</v>
      </c>
      <c r="M52" s="20">
        <f t="shared" si="9"/>
        <v>975250</v>
      </c>
      <c r="N52" s="23">
        <f t="shared" si="9"/>
        <v>1168632.51</v>
      </c>
      <c r="O52" s="85">
        <f>SUM(O50+O48+O44+O30+O11)</f>
        <v>23021</v>
      </c>
      <c r="P52" s="88">
        <f t="shared" si="1"/>
        <v>1191653.51</v>
      </c>
      <c r="Q52" s="84">
        <f>Q50+Q44+Q30+Q11</f>
        <v>692770.61</v>
      </c>
      <c r="S52" s="88"/>
      <c r="T52" s="88">
        <f>SUM(T50+T44+T30+T11)</f>
        <v>1140130</v>
      </c>
      <c r="V52" s="88">
        <f>SUM(V50+V44+V30+V11)</f>
        <v>1291657</v>
      </c>
    </row>
    <row r="53" spans="1:23" x14ac:dyDescent="0.35">
      <c r="B53" s="5"/>
      <c r="C53" s="26"/>
      <c r="P53" s="84"/>
      <c r="Q53" s="84"/>
      <c r="S53" s="84"/>
      <c r="V53" s="84"/>
    </row>
    <row r="54" spans="1:23" x14ac:dyDescent="0.35">
      <c r="A54" s="3" t="s">
        <v>81</v>
      </c>
      <c r="C54" s="26">
        <v>65500</v>
      </c>
      <c r="E54" s="19" t="s">
        <v>508</v>
      </c>
      <c r="P54" s="84"/>
      <c r="Q54" s="84"/>
      <c r="S54" s="84"/>
      <c r="V54" s="84"/>
    </row>
    <row r="55" spans="1:23" x14ac:dyDescent="0.35">
      <c r="A55" s="2" t="s">
        <v>82</v>
      </c>
      <c r="B55" s="2" t="s">
        <v>83</v>
      </c>
      <c r="C55" s="26">
        <v>31500</v>
      </c>
      <c r="D55" s="17">
        <v>94014</v>
      </c>
      <c r="F55" s="17">
        <v>99532</v>
      </c>
      <c r="G55" s="17">
        <v>0</v>
      </c>
      <c r="H55" s="17">
        <f>SUM(F55:G55)</f>
        <v>99532</v>
      </c>
      <c r="I55" s="17">
        <v>103007.13569999998</v>
      </c>
      <c r="N55" s="18">
        <v>103007</v>
      </c>
      <c r="O55">
        <f>1750</f>
        <v>1750</v>
      </c>
      <c r="P55" s="84">
        <f t="shared" si="1"/>
        <v>104757</v>
      </c>
      <c r="Q55" s="84">
        <v>74852</v>
      </c>
      <c r="R55">
        <v>71.45</v>
      </c>
      <c r="S55" s="84"/>
      <c r="T55" s="84">
        <v>108719</v>
      </c>
      <c r="V55" s="84">
        <v>0</v>
      </c>
      <c r="W55" t="s">
        <v>760</v>
      </c>
    </row>
    <row r="56" spans="1:23" x14ac:dyDescent="0.35">
      <c r="B56" s="2" t="s">
        <v>820</v>
      </c>
      <c r="C56" s="26">
        <v>7450</v>
      </c>
      <c r="D56" s="17">
        <v>31500</v>
      </c>
      <c r="G56" s="17">
        <v>0</v>
      </c>
      <c r="H56" s="17">
        <v>31500</v>
      </c>
      <c r="I56" s="17">
        <v>0</v>
      </c>
      <c r="P56" s="84">
        <f t="shared" si="1"/>
        <v>0</v>
      </c>
      <c r="Q56" s="84"/>
      <c r="S56" s="84"/>
      <c r="T56" s="84">
        <v>31500</v>
      </c>
      <c r="V56" s="84">
        <v>31500</v>
      </c>
    </row>
    <row r="57" spans="1:23" x14ac:dyDescent="0.35">
      <c r="A57" s="2" t="s">
        <v>84</v>
      </c>
      <c r="B57" s="2" t="s">
        <v>4</v>
      </c>
      <c r="C57" s="26">
        <v>3300</v>
      </c>
      <c r="D57" s="17">
        <v>9602</v>
      </c>
      <c r="F57" s="17">
        <v>7692</v>
      </c>
      <c r="G57" s="17">
        <v>0</v>
      </c>
      <c r="H57" s="17">
        <f t="shared" ref="H57:H62" si="10">SUM(F57:G57)</f>
        <v>7692</v>
      </c>
      <c r="I57" s="17">
        <v>7880.0458810499986</v>
      </c>
      <c r="N57" s="18">
        <v>7880</v>
      </c>
      <c r="O57">
        <f>134</f>
        <v>134</v>
      </c>
      <c r="P57" s="84">
        <f t="shared" si="1"/>
        <v>8014</v>
      </c>
      <c r="Q57" s="84">
        <v>5684</v>
      </c>
      <c r="R57">
        <v>70.930000000000007</v>
      </c>
      <c r="S57" s="84"/>
      <c r="T57" s="84">
        <v>8317</v>
      </c>
      <c r="V57" s="84">
        <v>2410</v>
      </c>
    </row>
    <row r="58" spans="1:23" x14ac:dyDescent="0.35">
      <c r="A58" s="2" t="s">
        <v>85</v>
      </c>
      <c r="B58" s="2" t="s">
        <v>6</v>
      </c>
      <c r="C58" s="26">
        <v>7500</v>
      </c>
      <c r="D58" s="17">
        <v>4701</v>
      </c>
      <c r="F58" s="17">
        <v>3453</v>
      </c>
      <c r="G58" s="17">
        <v>0</v>
      </c>
      <c r="H58" s="17">
        <f t="shared" si="10"/>
        <v>3453</v>
      </c>
      <c r="I58" s="17">
        <v>3575.3567849999995</v>
      </c>
      <c r="N58" s="18">
        <v>3575</v>
      </c>
      <c r="O58">
        <f>88</f>
        <v>88</v>
      </c>
      <c r="P58" s="84">
        <f t="shared" si="1"/>
        <v>3663</v>
      </c>
      <c r="Q58" s="84">
        <v>2168</v>
      </c>
      <c r="R58">
        <v>59.18</v>
      </c>
      <c r="S58" s="84"/>
      <c r="T58" s="84">
        <v>3861</v>
      </c>
      <c r="V58" s="84">
        <v>0</v>
      </c>
    </row>
    <row r="59" spans="1:23" x14ac:dyDescent="0.35">
      <c r="A59" s="2" t="s">
        <v>86</v>
      </c>
      <c r="B59" s="2" t="s">
        <v>8</v>
      </c>
      <c r="C59" s="26">
        <v>7600</v>
      </c>
      <c r="D59" s="17">
        <v>11376</v>
      </c>
      <c r="F59" s="17">
        <v>8355</v>
      </c>
      <c r="G59" s="17">
        <v>0</v>
      </c>
      <c r="H59" s="17">
        <f t="shared" si="10"/>
        <v>8355</v>
      </c>
      <c r="I59" s="17">
        <v>8652.3634196999974</v>
      </c>
      <c r="N59" s="18">
        <v>9217</v>
      </c>
      <c r="O59">
        <f>226</f>
        <v>226</v>
      </c>
      <c r="P59" s="84">
        <f t="shared" si="1"/>
        <v>9443</v>
      </c>
      <c r="Q59" s="84">
        <v>5588</v>
      </c>
      <c r="R59">
        <v>59.18</v>
      </c>
      <c r="S59" s="84"/>
      <c r="T59" s="84">
        <v>10533</v>
      </c>
      <c r="V59" s="84">
        <v>0</v>
      </c>
    </row>
    <row r="60" spans="1:23" x14ac:dyDescent="0.35">
      <c r="A60" s="2" t="s">
        <v>87</v>
      </c>
      <c r="B60" s="2" t="s">
        <v>10</v>
      </c>
      <c r="C60" s="26">
        <v>75</v>
      </c>
      <c r="D60" s="17">
        <v>8300</v>
      </c>
      <c r="F60" s="17">
        <v>7794</v>
      </c>
      <c r="G60" s="17">
        <v>0</v>
      </c>
      <c r="H60" s="17">
        <f t="shared" si="10"/>
        <v>7794</v>
      </c>
      <c r="I60" s="17">
        <v>9064.0000000000018</v>
      </c>
      <c r="N60" s="18">
        <v>9064</v>
      </c>
      <c r="P60" s="84">
        <f t="shared" si="1"/>
        <v>9064</v>
      </c>
      <c r="Q60" s="84">
        <v>2651</v>
      </c>
      <c r="R60">
        <v>29.25</v>
      </c>
      <c r="S60" s="84"/>
      <c r="T60" s="84">
        <v>8594</v>
      </c>
      <c r="V60" s="84">
        <v>0</v>
      </c>
    </row>
    <row r="61" spans="1:23" x14ac:dyDescent="0.35">
      <c r="A61" s="2" t="s">
        <v>88</v>
      </c>
      <c r="B61" s="2" t="s">
        <v>12</v>
      </c>
      <c r="C61" s="26">
        <v>122925</v>
      </c>
      <c r="D61" s="17">
        <v>110</v>
      </c>
      <c r="F61" s="17">
        <v>110</v>
      </c>
      <c r="G61" s="17">
        <v>0</v>
      </c>
      <c r="H61" s="17">
        <f t="shared" si="10"/>
        <v>110</v>
      </c>
      <c r="I61" s="17">
        <v>110</v>
      </c>
      <c r="N61" s="18">
        <v>110</v>
      </c>
      <c r="P61" s="84">
        <f t="shared" si="1"/>
        <v>110</v>
      </c>
      <c r="Q61" s="84">
        <v>69</v>
      </c>
      <c r="R61">
        <v>63</v>
      </c>
      <c r="S61" s="84"/>
      <c r="T61" s="84">
        <v>110</v>
      </c>
      <c r="V61" s="84">
        <v>0</v>
      </c>
    </row>
    <row r="62" spans="1:23" x14ac:dyDescent="0.35">
      <c r="B62" s="4" t="s">
        <v>13</v>
      </c>
      <c r="C62" s="26"/>
      <c r="D62" s="17">
        <f>SUM(D55:D61)</f>
        <v>159603</v>
      </c>
      <c r="F62" s="17">
        <f>SUM(F55:F61)</f>
        <v>126936</v>
      </c>
      <c r="G62" s="17">
        <v>0</v>
      </c>
      <c r="H62" s="20">
        <f t="shared" si="10"/>
        <v>126936</v>
      </c>
      <c r="I62" s="20">
        <f t="shared" ref="I62:N62" si="11">SUM(I55:I61)</f>
        <v>132288.90178574997</v>
      </c>
      <c r="J62" s="20">
        <f t="shared" si="11"/>
        <v>0</v>
      </c>
      <c r="K62" s="20">
        <f t="shared" si="11"/>
        <v>0</v>
      </c>
      <c r="L62" s="20">
        <f t="shared" si="11"/>
        <v>0</v>
      </c>
      <c r="M62" s="20">
        <f t="shared" si="11"/>
        <v>0</v>
      </c>
      <c r="N62" s="20">
        <f t="shared" si="11"/>
        <v>132853</v>
      </c>
      <c r="O62" s="20">
        <f>SUM(O55:O61)</f>
        <v>2198</v>
      </c>
      <c r="P62" s="88">
        <f t="shared" si="1"/>
        <v>135051</v>
      </c>
      <c r="Q62" s="88">
        <f>SUM(Q55:Q61)</f>
        <v>91012</v>
      </c>
      <c r="S62" s="88"/>
      <c r="T62" s="88">
        <f>SUM(T55:T61)</f>
        <v>171634</v>
      </c>
      <c r="V62" s="88">
        <f>SUM(V55:V61)</f>
        <v>33910</v>
      </c>
    </row>
    <row r="63" spans="1:23" x14ac:dyDescent="0.35">
      <c r="C63" s="26">
        <v>4600</v>
      </c>
      <c r="P63" s="84"/>
      <c r="Q63" s="84"/>
      <c r="S63" s="84"/>
      <c r="V63" s="84"/>
    </row>
    <row r="64" spans="1:23" x14ac:dyDescent="0.35">
      <c r="A64" s="2" t="s">
        <v>89</v>
      </c>
      <c r="B64" s="2" t="s">
        <v>90</v>
      </c>
      <c r="C64" s="26">
        <v>2500</v>
      </c>
      <c r="D64" s="17">
        <v>4600</v>
      </c>
      <c r="F64" s="17">
        <v>4600</v>
      </c>
      <c r="G64" s="17">
        <v>0</v>
      </c>
      <c r="H64" s="17">
        <f>SUM(F64:G64)</f>
        <v>4600</v>
      </c>
      <c r="I64" s="17">
        <v>4600</v>
      </c>
      <c r="N64" s="29">
        <v>2500</v>
      </c>
      <c r="P64" s="84">
        <f t="shared" si="1"/>
        <v>2500</v>
      </c>
      <c r="Q64" s="84">
        <v>2492</v>
      </c>
      <c r="R64">
        <v>99.68</v>
      </c>
      <c r="S64" s="84"/>
      <c r="T64" s="84">
        <v>2500</v>
      </c>
      <c r="V64" s="84">
        <v>2500</v>
      </c>
    </row>
    <row r="65" spans="1:23" x14ac:dyDescent="0.35">
      <c r="A65" s="2" t="s">
        <v>91</v>
      </c>
      <c r="B65" s="2" t="s">
        <v>92</v>
      </c>
      <c r="C65" s="26">
        <v>1000</v>
      </c>
      <c r="D65" s="17">
        <v>2500</v>
      </c>
      <c r="F65" s="17">
        <v>2500</v>
      </c>
      <c r="G65" s="17">
        <v>0</v>
      </c>
      <c r="H65" s="17">
        <f t="shared" ref="H65:H72" si="12">SUM(F65:G65)</f>
        <v>2500</v>
      </c>
      <c r="I65" s="17">
        <v>3500</v>
      </c>
      <c r="N65" s="18">
        <v>3500</v>
      </c>
      <c r="P65" s="84">
        <f t="shared" si="1"/>
        <v>3500</v>
      </c>
      <c r="Q65" s="84">
        <v>2477</v>
      </c>
      <c r="R65">
        <v>70.760000000000005</v>
      </c>
      <c r="S65" s="84"/>
      <c r="T65" s="84">
        <v>3500</v>
      </c>
      <c r="V65" s="84">
        <v>500</v>
      </c>
      <c r="W65" t="s">
        <v>762</v>
      </c>
    </row>
    <row r="66" spans="1:23" x14ac:dyDescent="0.35">
      <c r="A66" s="2" t="s">
        <v>93</v>
      </c>
      <c r="B66" s="2" t="s">
        <v>19</v>
      </c>
      <c r="C66" s="26">
        <v>6000</v>
      </c>
      <c r="D66" s="17">
        <v>1000</v>
      </c>
      <c r="F66" s="17">
        <v>1000</v>
      </c>
      <c r="G66" s="17">
        <v>0</v>
      </c>
      <c r="H66" s="17">
        <f t="shared" si="12"/>
        <v>1000</v>
      </c>
      <c r="I66" s="17">
        <v>2000</v>
      </c>
      <c r="N66" s="18">
        <v>2000</v>
      </c>
      <c r="P66" s="84">
        <f t="shared" si="1"/>
        <v>2000</v>
      </c>
      <c r="Q66" s="84">
        <v>0</v>
      </c>
      <c r="S66" s="84"/>
      <c r="T66" s="84">
        <v>3500</v>
      </c>
      <c r="V66" s="84">
        <v>8000</v>
      </c>
      <c r="W66" t="s">
        <v>810</v>
      </c>
    </row>
    <row r="67" spans="1:23" x14ac:dyDescent="0.35">
      <c r="A67" s="2" t="s">
        <v>94</v>
      </c>
      <c r="B67" s="2" t="s">
        <v>95</v>
      </c>
      <c r="C67" s="26">
        <v>4000</v>
      </c>
      <c r="D67" s="17">
        <v>6000</v>
      </c>
      <c r="F67" s="17">
        <v>6000</v>
      </c>
      <c r="G67" s="17">
        <v>0</v>
      </c>
      <c r="H67" s="17">
        <f t="shared" si="12"/>
        <v>6000</v>
      </c>
      <c r="I67" s="17">
        <v>8000</v>
      </c>
      <c r="N67" s="18">
        <f>8000+3000</f>
        <v>11000</v>
      </c>
      <c r="P67" s="84">
        <f t="shared" si="1"/>
        <v>11000</v>
      </c>
      <c r="Q67" s="84">
        <v>2524</v>
      </c>
      <c r="R67">
        <v>23</v>
      </c>
      <c r="S67" s="84"/>
      <c r="T67" s="84">
        <v>11000</v>
      </c>
      <c r="V67" s="84">
        <v>11000</v>
      </c>
    </row>
    <row r="68" spans="1:23" x14ac:dyDescent="0.35">
      <c r="A68" s="2" t="s">
        <v>96</v>
      </c>
      <c r="B68" s="2" t="s">
        <v>97</v>
      </c>
      <c r="C68" s="26">
        <v>1000</v>
      </c>
      <c r="D68" s="17">
        <v>10000</v>
      </c>
      <c r="F68" s="17">
        <v>10000</v>
      </c>
      <c r="G68" s="17">
        <v>0</v>
      </c>
      <c r="H68" s="17">
        <f t="shared" si="12"/>
        <v>10000</v>
      </c>
      <c r="I68" s="17">
        <v>5000</v>
      </c>
      <c r="N68" s="18">
        <v>5000</v>
      </c>
      <c r="P68" s="84">
        <f t="shared" si="1"/>
        <v>5000</v>
      </c>
      <c r="Q68" s="84">
        <v>2337</v>
      </c>
      <c r="R68">
        <v>46.73</v>
      </c>
      <c r="S68" s="84"/>
      <c r="T68" s="84">
        <v>5000</v>
      </c>
      <c r="V68" s="84">
        <v>2500</v>
      </c>
      <c r="W68" t="s">
        <v>763</v>
      </c>
    </row>
    <row r="69" spans="1:23" x14ac:dyDescent="0.35">
      <c r="A69" s="2" t="s">
        <v>98</v>
      </c>
      <c r="B69" s="2" t="s">
        <v>99</v>
      </c>
      <c r="C69" s="26">
        <v>2000</v>
      </c>
      <c r="D69" s="17">
        <v>1250</v>
      </c>
      <c r="F69" s="17">
        <v>1250</v>
      </c>
      <c r="G69" s="17">
        <v>0</v>
      </c>
      <c r="H69" s="17">
        <f t="shared" si="12"/>
        <v>1250</v>
      </c>
      <c r="I69" s="17">
        <v>1250</v>
      </c>
      <c r="N69" s="18">
        <v>1250</v>
      </c>
      <c r="P69" s="84">
        <f t="shared" si="1"/>
        <v>1250</v>
      </c>
      <c r="Q69" s="84">
        <v>908</v>
      </c>
      <c r="R69">
        <v>72.650000000000006</v>
      </c>
      <c r="S69" s="84"/>
      <c r="T69" s="84">
        <v>1250</v>
      </c>
      <c r="V69" s="84">
        <f>76*12</f>
        <v>912</v>
      </c>
    </row>
    <row r="70" spans="1:23" x14ac:dyDescent="0.35">
      <c r="A70" s="2" t="s">
        <v>100</v>
      </c>
      <c r="B70" s="2" t="s">
        <v>35</v>
      </c>
      <c r="C70" s="26">
        <v>30000</v>
      </c>
      <c r="D70" s="17">
        <v>2000</v>
      </c>
      <c r="F70" s="17">
        <v>2000</v>
      </c>
      <c r="G70" s="17">
        <v>0</v>
      </c>
      <c r="H70" s="17">
        <f t="shared" si="12"/>
        <v>2000</v>
      </c>
      <c r="I70" s="17">
        <v>500</v>
      </c>
      <c r="N70" s="18">
        <v>500</v>
      </c>
      <c r="P70" s="84">
        <f t="shared" ref="P70:P136" si="13">N70+O70</f>
        <v>500</v>
      </c>
      <c r="Q70" s="84">
        <v>161</v>
      </c>
      <c r="R70">
        <v>23.26</v>
      </c>
      <c r="S70" s="84"/>
      <c r="T70" s="84">
        <v>500</v>
      </c>
      <c r="V70" s="84">
        <v>500</v>
      </c>
    </row>
    <row r="71" spans="1:23" x14ac:dyDescent="0.35">
      <c r="A71" s="2" t="s">
        <v>101</v>
      </c>
      <c r="B71" s="2" t="s">
        <v>45</v>
      </c>
      <c r="C71" s="26">
        <v>51100</v>
      </c>
      <c r="D71" s="17">
        <v>40000</v>
      </c>
      <c r="F71" s="17">
        <v>40000</v>
      </c>
      <c r="G71" s="17">
        <v>0</v>
      </c>
      <c r="H71" s="17">
        <f t="shared" si="12"/>
        <v>40000</v>
      </c>
      <c r="I71" s="17">
        <v>40000</v>
      </c>
      <c r="N71" s="29">
        <v>36000</v>
      </c>
      <c r="P71" s="84">
        <f t="shared" si="13"/>
        <v>36000</v>
      </c>
      <c r="Q71" s="84">
        <v>22320</v>
      </c>
      <c r="R71">
        <v>71.72</v>
      </c>
      <c r="S71" s="84"/>
      <c r="T71" s="84">
        <v>36000</v>
      </c>
      <c r="V71" s="84">
        <v>36000</v>
      </c>
      <c r="W71" t="s">
        <v>800</v>
      </c>
    </row>
    <row r="72" spans="1:23" x14ac:dyDescent="0.35">
      <c r="B72" s="5" t="s">
        <v>48</v>
      </c>
      <c r="C72" s="26"/>
      <c r="D72" s="17">
        <f>SUM(D64:D71)</f>
        <v>67350</v>
      </c>
      <c r="F72" s="20">
        <f>SUM(F64:F71)</f>
        <v>67350</v>
      </c>
      <c r="G72" s="17">
        <v>0</v>
      </c>
      <c r="H72" s="20">
        <f t="shared" si="12"/>
        <v>67350</v>
      </c>
      <c r="I72" s="20">
        <f t="shared" ref="I72:N72" si="14">SUM(I64:I71)</f>
        <v>64850</v>
      </c>
      <c r="J72" s="20">
        <f t="shared" si="14"/>
        <v>0</v>
      </c>
      <c r="K72" s="20">
        <f t="shared" si="14"/>
        <v>0</v>
      </c>
      <c r="L72" s="20">
        <f t="shared" si="14"/>
        <v>0</v>
      </c>
      <c r="M72" s="20">
        <f t="shared" si="14"/>
        <v>0</v>
      </c>
      <c r="N72" s="23">
        <f t="shared" si="14"/>
        <v>61750</v>
      </c>
      <c r="O72">
        <v>0</v>
      </c>
      <c r="P72" s="88">
        <f t="shared" si="13"/>
        <v>61750</v>
      </c>
      <c r="Q72" s="88">
        <f>SUM(Q64:Q71)</f>
        <v>33219</v>
      </c>
      <c r="S72" s="88"/>
      <c r="T72" s="88">
        <f>SUM(T64:T71)</f>
        <v>63250</v>
      </c>
      <c r="V72" s="88">
        <f>SUM(V64:V71)</f>
        <v>61912</v>
      </c>
    </row>
    <row r="73" spans="1:23" x14ac:dyDescent="0.35">
      <c r="C73" s="26">
        <v>14000</v>
      </c>
      <c r="P73" s="84"/>
      <c r="Q73" s="84"/>
      <c r="S73" s="84"/>
      <c r="V73" s="84"/>
    </row>
    <row r="74" spans="1:23" x14ac:dyDescent="0.35">
      <c r="A74" s="2" t="s">
        <v>102</v>
      </c>
      <c r="B74" s="2" t="s">
        <v>103</v>
      </c>
      <c r="C74" s="26">
        <v>7000</v>
      </c>
      <c r="D74" s="17">
        <v>5000</v>
      </c>
      <c r="E74" s="2" t="s">
        <v>517</v>
      </c>
      <c r="F74" s="17">
        <v>5000</v>
      </c>
      <c r="G74" s="17">
        <v>0</v>
      </c>
      <c r="H74" s="17">
        <f>SUM(F74:G74)</f>
        <v>5000</v>
      </c>
      <c r="I74" s="17">
        <v>5000</v>
      </c>
      <c r="N74" s="31">
        <v>14000</v>
      </c>
      <c r="P74" s="84">
        <f t="shared" si="13"/>
        <v>14000</v>
      </c>
      <c r="Q74" s="84">
        <v>11511</v>
      </c>
      <c r="R74">
        <v>82.21</v>
      </c>
      <c r="S74" s="84"/>
      <c r="T74" s="84">
        <v>2000</v>
      </c>
      <c r="V74" s="84">
        <v>2000</v>
      </c>
    </row>
    <row r="75" spans="1:23" x14ac:dyDescent="0.35">
      <c r="A75" s="2" t="s">
        <v>104</v>
      </c>
      <c r="B75" s="6" t="s">
        <v>50</v>
      </c>
      <c r="C75" s="26">
        <v>21000</v>
      </c>
      <c r="D75" s="17">
        <v>7000</v>
      </c>
      <c r="F75" s="17">
        <v>7000</v>
      </c>
      <c r="G75" s="17">
        <v>0</v>
      </c>
      <c r="H75" s="17">
        <f>SUM(F75:G75)</f>
        <v>7000</v>
      </c>
      <c r="I75" s="17">
        <v>7000</v>
      </c>
      <c r="N75" s="18">
        <v>7000</v>
      </c>
      <c r="P75" s="84">
        <f t="shared" si="13"/>
        <v>7000</v>
      </c>
      <c r="Q75" s="84">
        <v>2770</v>
      </c>
      <c r="R75">
        <v>62</v>
      </c>
      <c r="S75" s="84"/>
      <c r="T75" s="84">
        <v>7000</v>
      </c>
      <c r="V75" s="84">
        <v>5000</v>
      </c>
      <c r="W75" t="s">
        <v>805</v>
      </c>
    </row>
    <row r="76" spans="1:23" x14ac:dyDescent="0.35">
      <c r="B76" s="5" t="s">
        <v>105</v>
      </c>
      <c r="C76" s="26"/>
      <c r="D76" s="17">
        <f>SUM(D74:D75)</f>
        <v>12000</v>
      </c>
      <c r="F76" s="17">
        <f>SUM(F74:F75)</f>
        <v>12000</v>
      </c>
      <c r="G76" s="17">
        <f>SUM(G74:G75)</f>
        <v>0</v>
      </c>
      <c r="H76" s="20">
        <f>SUM(F76:G76)</f>
        <v>12000</v>
      </c>
      <c r="I76" s="20">
        <f t="shared" ref="I76:N76" si="15">SUM(I74:I75)</f>
        <v>12000</v>
      </c>
      <c r="J76" s="20">
        <f t="shared" si="15"/>
        <v>0</v>
      </c>
      <c r="K76" s="20">
        <f t="shared" si="15"/>
        <v>0</v>
      </c>
      <c r="L76" s="20">
        <f t="shared" si="15"/>
        <v>0</v>
      </c>
      <c r="M76" s="20">
        <f t="shared" si="15"/>
        <v>0</v>
      </c>
      <c r="N76" s="23">
        <f t="shared" si="15"/>
        <v>21000</v>
      </c>
      <c r="O76">
        <v>0</v>
      </c>
      <c r="P76" s="88">
        <f t="shared" si="13"/>
        <v>21000</v>
      </c>
      <c r="Q76" s="88">
        <f>SUM(Q74:Q75)</f>
        <v>14281</v>
      </c>
      <c r="S76" s="88"/>
      <c r="T76" s="88">
        <f>SUM(T74:T75)</f>
        <v>9000</v>
      </c>
      <c r="V76" s="88">
        <f>SUM(V74:V75)</f>
        <v>7000</v>
      </c>
    </row>
    <row r="77" spans="1:23" x14ac:dyDescent="0.35">
      <c r="B77" s="5"/>
      <c r="C77" s="26">
        <v>195025</v>
      </c>
      <c r="P77" s="84"/>
      <c r="Q77" s="84"/>
      <c r="S77" s="84"/>
      <c r="V77" s="84"/>
    </row>
    <row r="78" spans="1:23" x14ac:dyDescent="0.35">
      <c r="B78" s="5" t="s">
        <v>821</v>
      </c>
      <c r="C78" s="26"/>
      <c r="D78" s="17">
        <f>SUM(D76,D72,D62)</f>
        <v>238953</v>
      </c>
      <c r="E78" s="17">
        <f>SUM(E76,E72,E62)</f>
        <v>0</v>
      </c>
      <c r="F78" s="20">
        <f>SUM(F76,F72,F62)</f>
        <v>206286</v>
      </c>
      <c r="G78" s="17">
        <f>SUM(G76,G72,G62)</f>
        <v>0</v>
      </c>
      <c r="H78" s="20">
        <f t="shared" ref="H78:N78" si="16">H76+H72+H62</f>
        <v>206286</v>
      </c>
      <c r="I78" s="20">
        <f t="shared" si="16"/>
        <v>209138.90178574997</v>
      </c>
      <c r="J78" s="20">
        <f t="shared" si="16"/>
        <v>0</v>
      </c>
      <c r="K78" s="20">
        <f t="shared" si="16"/>
        <v>0</v>
      </c>
      <c r="L78" s="20">
        <f t="shared" si="16"/>
        <v>0</v>
      </c>
      <c r="M78" s="20">
        <f t="shared" si="16"/>
        <v>0</v>
      </c>
      <c r="N78" s="23">
        <f t="shared" si="16"/>
        <v>215603</v>
      </c>
      <c r="O78" s="20">
        <f>SUM(O55:O77)</f>
        <v>4396</v>
      </c>
      <c r="P78" s="88">
        <f t="shared" si="13"/>
        <v>219999</v>
      </c>
      <c r="Q78" s="88">
        <f>Q62+Q72+Q76</f>
        <v>138512</v>
      </c>
      <c r="R78" s="88"/>
      <c r="S78" s="88"/>
      <c r="T78" s="88">
        <f>SUM(T76+T72+T62)</f>
        <v>243884</v>
      </c>
      <c r="V78" s="88">
        <f>SUM(V76+V72+V62)</f>
        <v>102822</v>
      </c>
    </row>
    <row r="79" spans="1:23" x14ac:dyDescent="0.35">
      <c r="B79" s="5"/>
      <c r="C79" s="26"/>
      <c r="P79" s="84"/>
      <c r="Q79" s="84"/>
      <c r="S79" s="84"/>
      <c r="V79" s="84"/>
    </row>
    <row r="80" spans="1:23" x14ac:dyDescent="0.35">
      <c r="A80" s="3" t="s">
        <v>106</v>
      </c>
      <c r="C80" s="26">
        <v>69000</v>
      </c>
      <c r="E80" s="19" t="s">
        <v>508</v>
      </c>
      <c r="P80" s="84"/>
      <c r="Q80" s="84"/>
      <c r="S80" s="84"/>
      <c r="V80" s="84"/>
    </row>
    <row r="81" spans="1:23" x14ac:dyDescent="0.35">
      <c r="A81" s="2" t="s">
        <v>107</v>
      </c>
      <c r="B81" s="2" t="s">
        <v>2</v>
      </c>
      <c r="C81" s="26"/>
      <c r="D81" s="17">
        <v>65000</v>
      </c>
      <c r="F81" s="17">
        <v>62286</v>
      </c>
      <c r="G81" s="17">
        <v>0</v>
      </c>
      <c r="H81" s="17">
        <f>SUM(F81:G81)</f>
        <v>62286</v>
      </c>
      <c r="I81" s="17">
        <v>66073.767416999995</v>
      </c>
      <c r="N81" s="18">
        <v>66074</v>
      </c>
      <c r="O81">
        <f>3000+1734</f>
        <v>4734</v>
      </c>
      <c r="P81" s="84">
        <f t="shared" si="13"/>
        <v>70808</v>
      </c>
      <c r="Q81" s="84">
        <v>47929</v>
      </c>
      <c r="R81">
        <v>67.680000000000007</v>
      </c>
      <c r="S81" s="84"/>
      <c r="T81" s="84">
        <v>122638</v>
      </c>
      <c r="V81" s="84">
        <v>105789</v>
      </c>
    </row>
    <row r="82" spans="1:23" x14ac:dyDescent="0.35">
      <c r="A82" s="2" t="s">
        <v>107</v>
      </c>
      <c r="B82" s="2" t="s">
        <v>108</v>
      </c>
      <c r="C82" s="26">
        <v>5300</v>
      </c>
      <c r="I82" s="17">
        <f>999*15</f>
        <v>14985</v>
      </c>
      <c r="N82" s="18">
        <v>15210</v>
      </c>
      <c r="O82">
        <v>400</v>
      </c>
      <c r="P82" s="84">
        <f t="shared" si="13"/>
        <v>15610</v>
      </c>
      <c r="Q82" s="84">
        <v>11494</v>
      </c>
      <c r="R82">
        <v>73.63</v>
      </c>
      <c r="S82" s="84"/>
      <c r="T82" s="84">
        <v>0</v>
      </c>
      <c r="V82" s="84">
        <v>0</v>
      </c>
    </row>
    <row r="83" spans="1:23" x14ac:dyDescent="0.35">
      <c r="A83" s="2" t="s">
        <v>109</v>
      </c>
      <c r="B83" s="2" t="s">
        <v>4</v>
      </c>
      <c r="C83" s="26">
        <v>3500</v>
      </c>
      <c r="D83" s="17">
        <f>D81*0.0767</f>
        <v>4985.5</v>
      </c>
      <c r="F83" s="17">
        <v>4765</v>
      </c>
      <c r="G83" s="17">
        <v>0</v>
      </c>
      <c r="H83" s="17">
        <f t="shared" ref="H83:H88" si="17">SUM(F83:G83)</f>
        <v>4765</v>
      </c>
      <c r="I83" s="17">
        <v>6218.1909949004994</v>
      </c>
      <c r="N83" s="18">
        <v>6218</v>
      </c>
      <c r="O83">
        <f>229+136</f>
        <v>365</v>
      </c>
      <c r="P83" s="84">
        <f t="shared" si="13"/>
        <v>6583</v>
      </c>
      <c r="Q83" s="84">
        <v>4188</v>
      </c>
      <c r="R83">
        <v>63.61</v>
      </c>
      <c r="S83" s="84"/>
      <c r="T83" s="84">
        <v>9382</v>
      </c>
      <c r="V83" s="84">
        <v>8093</v>
      </c>
    </row>
    <row r="84" spans="1:23" x14ac:dyDescent="0.35">
      <c r="A84" s="2" t="s">
        <v>110</v>
      </c>
      <c r="B84" s="2" t="s">
        <v>6</v>
      </c>
      <c r="C84" s="26">
        <v>7850</v>
      </c>
      <c r="D84" s="17">
        <f>D81*0.05</f>
        <v>3250</v>
      </c>
      <c r="F84" s="17">
        <v>3114</v>
      </c>
      <c r="G84" s="17">
        <v>0</v>
      </c>
      <c r="H84" s="17">
        <f t="shared" si="17"/>
        <v>3114</v>
      </c>
      <c r="I84" s="17">
        <v>3303.68837085</v>
      </c>
      <c r="N84" s="18">
        <v>3304</v>
      </c>
      <c r="O84">
        <f>100+69</f>
        <v>169</v>
      </c>
      <c r="P84" s="84">
        <f t="shared" si="13"/>
        <v>3473</v>
      </c>
      <c r="Q84" s="84">
        <v>2396</v>
      </c>
      <c r="R84">
        <v>69</v>
      </c>
      <c r="S84" s="84"/>
      <c r="T84" s="84">
        <v>6132</v>
      </c>
      <c r="V84" s="84">
        <v>3698</v>
      </c>
    </row>
    <row r="85" spans="1:23" x14ac:dyDescent="0.35">
      <c r="A85" s="2" t="s">
        <v>111</v>
      </c>
      <c r="B85" s="2" t="s">
        <v>8</v>
      </c>
      <c r="C85" s="26">
        <v>7600</v>
      </c>
      <c r="D85" s="17">
        <v>7865</v>
      </c>
      <c r="F85" s="17">
        <v>7537</v>
      </c>
      <c r="G85" s="17">
        <v>0</v>
      </c>
      <c r="H85" s="17">
        <f t="shared" si="17"/>
        <v>7537</v>
      </c>
      <c r="I85" s="17">
        <v>7994.9258574569994</v>
      </c>
      <c r="N85" s="18">
        <v>8517</v>
      </c>
      <c r="O85">
        <f>257+177</f>
        <v>434</v>
      </c>
      <c r="P85" s="84">
        <f t="shared" si="13"/>
        <v>8951</v>
      </c>
      <c r="Q85" s="84">
        <v>6178</v>
      </c>
      <c r="R85">
        <v>69</v>
      </c>
      <c r="S85" s="84"/>
      <c r="T85" s="84">
        <v>16728</v>
      </c>
      <c r="V85" s="84">
        <v>14430</v>
      </c>
    </row>
    <row r="86" spans="1:23" x14ac:dyDescent="0.35">
      <c r="A86" s="2" t="s">
        <v>112</v>
      </c>
      <c r="B86" s="2" t="s">
        <v>10</v>
      </c>
      <c r="C86" s="26">
        <v>75</v>
      </c>
      <c r="D86" s="17">
        <f>C86*1.1</f>
        <v>82.5</v>
      </c>
      <c r="F86" s="17">
        <v>7794</v>
      </c>
      <c r="G86" s="17">
        <v>0</v>
      </c>
      <c r="H86" s="17">
        <f t="shared" si="17"/>
        <v>7794</v>
      </c>
      <c r="I86" s="17">
        <v>9064.0000000000018</v>
      </c>
      <c r="N86" s="18">
        <v>9064</v>
      </c>
      <c r="P86" s="84">
        <f t="shared" si="13"/>
        <v>9064</v>
      </c>
      <c r="Q86" s="84">
        <v>3803</v>
      </c>
      <c r="R86">
        <v>41.96</v>
      </c>
      <c r="S86" s="84"/>
      <c r="T86" s="84">
        <v>17188</v>
      </c>
      <c r="V86" s="84">
        <v>8594</v>
      </c>
    </row>
    <row r="87" spans="1:23" x14ac:dyDescent="0.35">
      <c r="A87" s="2" t="s">
        <v>113</v>
      </c>
      <c r="B87" s="2" t="s">
        <v>12</v>
      </c>
      <c r="C87" s="26">
        <v>93325</v>
      </c>
      <c r="D87" s="17">
        <v>75</v>
      </c>
      <c r="F87" s="17">
        <v>75</v>
      </c>
      <c r="G87" s="17">
        <v>0</v>
      </c>
      <c r="H87" s="17">
        <f t="shared" si="17"/>
        <v>75</v>
      </c>
      <c r="I87" s="17">
        <v>75</v>
      </c>
      <c r="N87" s="18">
        <v>100</v>
      </c>
      <c r="P87" s="84">
        <f t="shared" si="13"/>
        <v>100</v>
      </c>
      <c r="Q87" s="84">
        <v>71.94</v>
      </c>
      <c r="R87">
        <v>71.94</v>
      </c>
      <c r="S87" s="84"/>
      <c r="T87" s="84">
        <v>100</v>
      </c>
      <c r="V87" s="84">
        <v>100</v>
      </c>
    </row>
    <row r="88" spans="1:23" x14ac:dyDescent="0.35">
      <c r="B88" s="4" t="s">
        <v>13</v>
      </c>
      <c r="C88" s="26"/>
      <c r="D88" s="17">
        <f>SUM(D81:D87)</f>
        <v>81258</v>
      </c>
      <c r="F88" s="20">
        <f>SUM(F81:F87)</f>
        <v>85571</v>
      </c>
      <c r="G88" s="17">
        <v>0</v>
      </c>
      <c r="H88" s="20">
        <f t="shared" si="17"/>
        <v>85571</v>
      </c>
      <c r="I88" s="20">
        <f t="shared" ref="I88:N88" si="18">SUM(I81:I87)</f>
        <v>107714.57264020749</v>
      </c>
      <c r="J88" s="20">
        <f t="shared" si="18"/>
        <v>0</v>
      </c>
      <c r="K88" s="20">
        <f t="shared" si="18"/>
        <v>0</v>
      </c>
      <c r="L88" s="20">
        <f t="shared" si="18"/>
        <v>0</v>
      </c>
      <c r="M88" s="20">
        <f t="shared" si="18"/>
        <v>0</v>
      </c>
      <c r="N88" s="20">
        <f t="shared" si="18"/>
        <v>108487</v>
      </c>
      <c r="O88" s="20">
        <f>SUM(O81:O87)</f>
        <v>6102</v>
      </c>
      <c r="P88" s="88">
        <f t="shared" si="13"/>
        <v>114589</v>
      </c>
      <c r="Q88" s="84">
        <f>SUM(Q81:Q87)</f>
        <v>76059.94</v>
      </c>
      <c r="S88" s="88"/>
      <c r="T88" s="88">
        <f>SUM(T81:T87)</f>
        <v>172168</v>
      </c>
      <c r="V88" s="88">
        <f>SUM(V81:V87)</f>
        <v>140704</v>
      </c>
    </row>
    <row r="89" spans="1:23" x14ac:dyDescent="0.35">
      <c r="B89" s="4"/>
      <c r="C89" s="26">
        <v>2250</v>
      </c>
      <c r="P89" s="84"/>
      <c r="Q89" s="84"/>
      <c r="S89" s="84"/>
      <c r="V89" s="84"/>
    </row>
    <row r="90" spans="1:23" x14ac:dyDescent="0.35">
      <c r="A90" s="2" t="s">
        <v>114</v>
      </c>
      <c r="B90" s="2" t="s">
        <v>17</v>
      </c>
      <c r="C90" s="26">
        <v>500</v>
      </c>
      <c r="D90" s="17">
        <v>2250</v>
      </c>
      <c r="E90" s="32"/>
      <c r="F90" s="17">
        <v>2250</v>
      </c>
      <c r="G90" s="17">
        <v>0</v>
      </c>
      <c r="H90" s="17">
        <f>SUM(F90:G90)</f>
        <v>2250</v>
      </c>
      <c r="I90" s="17">
        <v>2500</v>
      </c>
      <c r="N90" s="18">
        <v>2500</v>
      </c>
      <c r="P90" s="84">
        <f t="shared" si="13"/>
        <v>2500</v>
      </c>
      <c r="Q90" s="84">
        <v>5441</v>
      </c>
      <c r="R90">
        <v>101.62</v>
      </c>
      <c r="S90" s="84"/>
      <c r="T90" s="84">
        <v>5000</v>
      </c>
      <c r="V90" s="84">
        <v>5000</v>
      </c>
    </row>
    <row r="91" spans="1:23" x14ac:dyDescent="0.35">
      <c r="A91" s="2" t="s">
        <v>115</v>
      </c>
      <c r="C91" s="26">
        <v>7500</v>
      </c>
      <c r="D91" s="17">
        <v>500</v>
      </c>
      <c r="E91" s="32"/>
      <c r="F91" s="17">
        <v>500</v>
      </c>
      <c r="G91" s="17">
        <v>0</v>
      </c>
      <c r="H91" s="17">
        <f t="shared" ref="H91:H104" si="19">SUM(F91:G91)</f>
        <v>500</v>
      </c>
      <c r="I91" s="17">
        <v>4000</v>
      </c>
      <c r="N91" s="18">
        <v>3000</v>
      </c>
      <c r="P91" s="84">
        <f t="shared" si="13"/>
        <v>3000</v>
      </c>
      <c r="Q91" s="84">
        <v>773</v>
      </c>
      <c r="R91">
        <v>25.76</v>
      </c>
      <c r="S91" s="84"/>
      <c r="T91" s="84">
        <v>6000</v>
      </c>
      <c r="V91" s="84">
        <v>3000</v>
      </c>
      <c r="W91" t="s">
        <v>801</v>
      </c>
    </row>
    <row r="92" spans="1:23" x14ac:dyDescent="0.35">
      <c r="A92" s="2" t="s">
        <v>116</v>
      </c>
      <c r="B92" s="2" t="s">
        <v>23</v>
      </c>
      <c r="C92" s="26">
        <v>600</v>
      </c>
      <c r="D92" s="17">
        <v>7500</v>
      </c>
      <c r="E92" s="32"/>
      <c r="F92" s="17">
        <v>7500</v>
      </c>
      <c r="G92" s="17">
        <v>0</v>
      </c>
      <c r="H92" s="17">
        <f t="shared" si="19"/>
        <v>7500</v>
      </c>
      <c r="I92" s="17">
        <v>7500</v>
      </c>
      <c r="N92" s="29">
        <v>7000</v>
      </c>
      <c r="P92" s="84">
        <f t="shared" si="13"/>
        <v>7000</v>
      </c>
      <c r="Q92" s="84">
        <v>3467</v>
      </c>
      <c r="R92">
        <v>49.53</v>
      </c>
      <c r="S92" s="84"/>
      <c r="T92" s="84">
        <v>7000</v>
      </c>
      <c r="V92" s="84">
        <v>5000</v>
      </c>
      <c r="W92" t="s">
        <v>802</v>
      </c>
    </row>
    <row r="93" spans="1:23" x14ac:dyDescent="0.35">
      <c r="A93" s="2" t="s">
        <v>117</v>
      </c>
      <c r="B93" s="2" t="s">
        <v>99</v>
      </c>
      <c r="C93" s="26">
        <v>0</v>
      </c>
      <c r="D93" s="17">
        <v>600</v>
      </c>
      <c r="F93" s="17">
        <v>600</v>
      </c>
      <c r="G93" s="17">
        <v>0</v>
      </c>
      <c r="H93" s="17">
        <f t="shared" si="19"/>
        <v>600</v>
      </c>
      <c r="I93" s="17">
        <v>600</v>
      </c>
      <c r="N93" s="18">
        <v>600</v>
      </c>
      <c r="P93" s="84">
        <f t="shared" si="13"/>
        <v>600</v>
      </c>
      <c r="Q93" s="84">
        <v>750</v>
      </c>
      <c r="R93">
        <v>124.98</v>
      </c>
      <c r="S93" s="84"/>
      <c r="T93" s="84">
        <v>4800</v>
      </c>
      <c r="V93" s="84">
        <v>4800</v>
      </c>
    </row>
    <row r="94" spans="1:23" s="96" customFormat="1" x14ac:dyDescent="0.35">
      <c r="A94" s="93" t="s">
        <v>746</v>
      </c>
      <c r="B94" s="2" t="s">
        <v>299</v>
      </c>
      <c r="C94" s="94"/>
      <c r="D94" s="95"/>
      <c r="E94" s="93"/>
      <c r="F94" s="95"/>
      <c r="G94" s="95"/>
      <c r="H94" s="95"/>
      <c r="I94" s="95"/>
      <c r="J94" s="93"/>
      <c r="K94" s="93"/>
      <c r="L94" s="93"/>
      <c r="M94" s="93"/>
      <c r="N94" s="31"/>
      <c r="P94" s="97"/>
      <c r="Q94" s="97"/>
      <c r="S94" s="97"/>
      <c r="T94" s="97">
        <v>1200</v>
      </c>
      <c r="V94" s="84">
        <v>1200</v>
      </c>
    </row>
    <row r="95" spans="1:23" s="96" customFormat="1" x14ac:dyDescent="0.35">
      <c r="A95" s="93" t="s">
        <v>747</v>
      </c>
      <c r="B95" s="2" t="s">
        <v>301</v>
      </c>
      <c r="C95" s="94"/>
      <c r="D95" s="95"/>
      <c r="E95" s="93"/>
      <c r="F95" s="95"/>
      <c r="G95" s="95"/>
      <c r="H95" s="95"/>
      <c r="I95" s="95"/>
      <c r="J95" s="93"/>
      <c r="K95" s="93"/>
      <c r="L95" s="93"/>
      <c r="M95" s="93"/>
      <c r="N95" s="31"/>
      <c r="P95" s="97"/>
      <c r="Q95" s="97"/>
      <c r="S95" s="97"/>
      <c r="T95" s="97">
        <v>3000</v>
      </c>
      <c r="V95" s="84">
        <v>3000</v>
      </c>
    </row>
    <row r="96" spans="1:23" x14ac:dyDescent="0.35">
      <c r="A96" s="2" t="s">
        <v>118</v>
      </c>
      <c r="B96" s="2" t="s">
        <v>39</v>
      </c>
      <c r="C96" s="26">
        <v>12500</v>
      </c>
      <c r="D96" s="17">
        <v>0</v>
      </c>
      <c r="F96" s="17">
        <v>0</v>
      </c>
      <c r="G96" s="17">
        <v>0</v>
      </c>
      <c r="H96" s="17">
        <f t="shared" si="19"/>
        <v>0</v>
      </c>
      <c r="I96" s="17">
        <v>5000</v>
      </c>
      <c r="N96" s="29">
        <v>3000</v>
      </c>
      <c r="P96" s="84">
        <f t="shared" si="13"/>
        <v>3000</v>
      </c>
      <c r="Q96" s="84">
        <v>3000</v>
      </c>
      <c r="R96">
        <v>100</v>
      </c>
      <c r="S96" s="84"/>
      <c r="T96" s="84">
        <v>3000</v>
      </c>
      <c r="V96" s="84">
        <v>3000</v>
      </c>
    </row>
    <row r="97" spans="1:23" x14ac:dyDescent="0.35">
      <c r="A97" s="2" t="s">
        <v>119</v>
      </c>
      <c r="B97" s="2" t="s">
        <v>120</v>
      </c>
      <c r="C97" s="26">
        <v>20000</v>
      </c>
      <c r="D97" s="17">
        <v>12500</v>
      </c>
      <c r="E97" s="32"/>
      <c r="F97" s="17">
        <v>12500</v>
      </c>
      <c r="G97" s="17">
        <v>0</v>
      </c>
      <c r="H97" s="17">
        <f t="shared" si="19"/>
        <v>12500</v>
      </c>
      <c r="I97" s="17">
        <v>200000</v>
      </c>
      <c r="N97" s="29">
        <v>100000</v>
      </c>
      <c r="P97" s="84">
        <f t="shared" si="13"/>
        <v>100000</v>
      </c>
      <c r="Q97" s="104">
        <v>41400</v>
      </c>
      <c r="R97" s="98">
        <v>41.51</v>
      </c>
      <c r="S97" s="84"/>
      <c r="T97" s="84">
        <v>70000</v>
      </c>
      <c r="V97" s="84">
        <v>0</v>
      </c>
      <c r="W97" t="s">
        <v>804</v>
      </c>
    </row>
    <row r="98" spans="1:23" x14ac:dyDescent="0.35">
      <c r="A98" s="2" t="s">
        <v>121</v>
      </c>
      <c r="B98" s="2" t="s">
        <v>122</v>
      </c>
      <c r="C98" s="26">
        <v>3245</v>
      </c>
      <c r="D98" s="17">
        <v>20000</v>
      </c>
      <c r="F98" s="17">
        <v>24000</v>
      </c>
      <c r="G98" s="17">
        <v>0</v>
      </c>
      <c r="H98" s="17">
        <f t="shared" si="19"/>
        <v>24000</v>
      </c>
      <c r="I98" s="17">
        <v>24000</v>
      </c>
      <c r="N98" s="18">
        <v>24000</v>
      </c>
      <c r="P98" s="84">
        <f t="shared" si="13"/>
        <v>24000</v>
      </c>
      <c r="Q98" s="84">
        <v>4912</v>
      </c>
      <c r="R98">
        <v>23.28</v>
      </c>
      <c r="S98" s="84"/>
      <c r="T98" s="84">
        <v>24000</v>
      </c>
      <c r="V98" s="84">
        <v>24000</v>
      </c>
    </row>
    <row r="99" spans="1:23" x14ac:dyDescent="0.35">
      <c r="A99" s="2" t="s">
        <v>123</v>
      </c>
      <c r="B99" s="2" t="s">
        <v>45</v>
      </c>
      <c r="C99" s="26">
        <v>5500</v>
      </c>
      <c r="D99" s="17">
        <v>3245</v>
      </c>
      <c r="E99" s="32"/>
      <c r="F99" s="17">
        <v>3245</v>
      </c>
      <c r="G99" s="17">
        <v>0</v>
      </c>
      <c r="H99" s="17">
        <f t="shared" si="19"/>
        <v>3245</v>
      </c>
      <c r="I99" s="17">
        <v>3000</v>
      </c>
      <c r="N99" s="18">
        <v>3000</v>
      </c>
      <c r="P99" s="84">
        <f t="shared" si="13"/>
        <v>3000</v>
      </c>
      <c r="Q99" s="84">
        <v>670</v>
      </c>
      <c r="R99">
        <v>22.33</v>
      </c>
      <c r="S99" s="84"/>
      <c r="T99" s="84">
        <v>3000</v>
      </c>
      <c r="V99" s="84">
        <v>2500</v>
      </c>
    </row>
    <row r="100" spans="1:23" ht="14.4" customHeight="1" x14ac:dyDescent="0.35">
      <c r="A100" s="2" t="s">
        <v>124</v>
      </c>
      <c r="B100" s="2" t="s">
        <v>125</v>
      </c>
      <c r="C100" s="26"/>
      <c r="D100" s="17">
        <v>5500</v>
      </c>
      <c r="E100" s="32" t="s">
        <v>518</v>
      </c>
      <c r="F100" s="17">
        <v>5500</v>
      </c>
      <c r="G100" s="17">
        <v>0</v>
      </c>
      <c r="H100" s="17">
        <f t="shared" si="19"/>
        <v>5500</v>
      </c>
      <c r="I100" s="17">
        <v>5500</v>
      </c>
      <c r="N100" s="18">
        <v>5500</v>
      </c>
      <c r="P100" s="84">
        <f t="shared" si="13"/>
        <v>5500</v>
      </c>
      <c r="Q100" s="84">
        <v>924</v>
      </c>
      <c r="R100">
        <v>16.8</v>
      </c>
      <c r="S100" s="84"/>
      <c r="T100" s="84">
        <v>30000</v>
      </c>
      <c r="U100" t="s">
        <v>750</v>
      </c>
      <c r="V100" s="84">
        <v>0</v>
      </c>
      <c r="W100" t="s">
        <v>803</v>
      </c>
    </row>
    <row r="101" spans="1:23" x14ac:dyDescent="0.35">
      <c r="A101" s="2" t="s">
        <v>126</v>
      </c>
      <c r="B101" s="2" t="s">
        <v>127</v>
      </c>
      <c r="C101" s="26">
        <v>6000</v>
      </c>
      <c r="E101" s="32"/>
      <c r="P101" s="84">
        <f t="shared" si="13"/>
        <v>0</v>
      </c>
      <c r="Q101" s="84">
        <v>1981</v>
      </c>
      <c r="S101" s="84"/>
      <c r="T101" s="84">
        <v>3000</v>
      </c>
      <c r="V101" s="84">
        <v>3000</v>
      </c>
    </row>
    <row r="102" spans="1:23" x14ac:dyDescent="0.35">
      <c r="A102" s="2" t="s">
        <v>748</v>
      </c>
      <c r="B102" s="2" t="s">
        <v>67</v>
      </c>
      <c r="C102" s="26"/>
      <c r="E102" s="32"/>
      <c r="P102" s="84"/>
      <c r="Q102" s="84"/>
      <c r="S102" s="84"/>
      <c r="T102" s="84">
        <v>8000</v>
      </c>
      <c r="V102" s="84">
        <v>8000</v>
      </c>
    </row>
    <row r="103" spans="1:23" x14ac:dyDescent="0.35">
      <c r="A103" s="2" t="s">
        <v>128</v>
      </c>
      <c r="B103" s="2" t="s">
        <v>129</v>
      </c>
      <c r="C103" s="26">
        <v>58095</v>
      </c>
      <c r="D103" s="17">
        <v>6000</v>
      </c>
      <c r="F103" s="17">
        <v>6000</v>
      </c>
      <c r="G103" s="17">
        <v>0</v>
      </c>
      <c r="H103" s="17">
        <f t="shared" si="19"/>
        <v>6000</v>
      </c>
      <c r="I103" s="17">
        <v>6000</v>
      </c>
      <c r="N103" s="18">
        <v>6000</v>
      </c>
      <c r="P103" s="84">
        <f t="shared" si="13"/>
        <v>6000</v>
      </c>
      <c r="Q103" s="84">
        <v>6000</v>
      </c>
      <c r="R103">
        <v>100</v>
      </c>
      <c r="S103" s="84"/>
      <c r="T103" s="84">
        <v>84000</v>
      </c>
      <c r="U103" t="s">
        <v>749</v>
      </c>
      <c r="V103" s="84">
        <v>84000</v>
      </c>
    </row>
    <row r="104" spans="1:23" x14ac:dyDescent="0.35">
      <c r="B104" s="5" t="s">
        <v>48</v>
      </c>
      <c r="C104" s="26"/>
      <c r="D104" s="17">
        <f>SUM(D90:D103)</f>
        <v>58095</v>
      </c>
      <c r="F104" s="20">
        <f>SUM(F90:F103)</f>
        <v>62095</v>
      </c>
      <c r="G104" s="17">
        <v>0</v>
      </c>
      <c r="H104" s="20">
        <f t="shared" si="19"/>
        <v>62095</v>
      </c>
      <c r="I104" s="20">
        <f>SUM(I90:I103)</f>
        <v>258100</v>
      </c>
      <c r="N104" s="23">
        <f>SUM(N90:N103)</f>
        <v>154600</v>
      </c>
      <c r="O104">
        <v>0</v>
      </c>
      <c r="P104" s="88">
        <f t="shared" si="13"/>
        <v>154600</v>
      </c>
      <c r="Q104" s="84">
        <f>SUM(Q90:Q103)</f>
        <v>69318</v>
      </c>
      <c r="S104" s="88"/>
      <c r="T104" s="88">
        <f>SUM(T90:T103)</f>
        <v>252000</v>
      </c>
      <c r="V104" s="88">
        <f>SUM(V90:V103)</f>
        <v>146500</v>
      </c>
    </row>
    <row r="105" spans="1:23" x14ac:dyDescent="0.35">
      <c r="C105" s="26">
        <v>55000</v>
      </c>
      <c r="P105" s="84"/>
      <c r="Q105" s="84"/>
      <c r="S105" s="84"/>
      <c r="V105" s="84"/>
    </row>
    <row r="106" spans="1:23" ht="14.4" customHeight="1" x14ac:dyDescent="0.35">
      <c r="A106" s="2" t="s">
        <v>130</v>
      </c>
      <c r="B106" s="6" t="s">
        <v>50</v>
      </c>
      <c r="C106" s="26">
        <v>55000</v>
      </c>
      <c r="D106" s="17">
        <v>165000</v>
      </c>
      <c r="E106" s="32" t="s">
        <v>519</v>
      </c>
      <c r="F106" s="17">
        <v>170000</v>
      </c>
      <c r="G106" s="17">
        <v>0</v>
      </c>
      <c r="H106" s="17">
        <f>SUM(F106:G106)</f>
        <v>170000</v>
      </c>
      <c r="I106" s="17">
        <v>125000</v>
      </c>
      <c r="N106" s="29">
        <v>110000</v>
      </c>
      <c r="P106" s="84">
        <f t="shared" si="13"/>
        <v>110000</v>
      </c>
      <c r="Q106" s="84">
        <v>76496</v>
      </c>
      <c r="R106">
        <v>54.23</v>
      </c>
      <c r="S106" s="84"/>
      <c r="T106" s="84">
        <v>125000</v>
      </c>
      <c r="U106" t="s">
        <v>742</v>
      </c>
      <c r="V106" s="84">
        <v>125000</v>
      </c>
      <c r="W106" t="s">
        <v>757</v>
      </c>
    </row>
    <row r="107" spans="1:23" x14ac:dyDescent="0.35">
      <c r="B107" s="5" t="s">
        <v>105</v>
      </c>
      <c r="C107" s="26"/>
      <c r="D107" s="17">
        <f>SUM(D106)</f>
        <v>165000</v>
      </c>
      <c r="F107" s="20">
        <f>SUM(F106)</f>
        <v>170000</v>
      </c>
      <c r="G107" s="17">
        <f>SUM(G106)</f>
        <v>0</v>
      </c>
      <c r="H107" s="20">
        <f>SUM(F107:G107)</f>
        <v>170000</v>
      </c>
      <c r="I107" s="20">
        <f t="shared" ref="I107:N107" si="20">SUM(I106)</f>
        <v>125000</v>
      </c>
      <c r="J107" s="20">
        <f t="shared" si="20"/>
        <v>0</v>
      </c>
      <c r="K107" s="20">
        <f t="shared" si="20"/>
        <v>0</v>
      </c>
      <c r="L107" s="20">
        <f t="shared" si="20"/>
        <v>0</v>
      </c>
      <c r="M107" s="20">
        <f t="shared" si="20"/>
        <v>0</v>
      </c>
      <c r="N107" s="23">
        <f t="shared" si="20"/>
        <v>110000</v>
      </c>
      <c r="O107">
        <v>0</v>
      </c>
      <c r="P107" s="88">
        <f t="shared" si="13"/>
        <v>110000</v>
      </c>
      <c r="Q107" s="84">
        <f>SUM(Q106)</f>
        <v>76496</v>
      </c>
      <c r="S107" s="88"/>
      <c r="T107" s="88">
        <f>SUM(T106)</f>
        <v>125000</v>
      </c>
      <c r="V107" s="88">
        <f>SUM(V106)</f>
        <v>125000</v>
      </c>
    </row>
    <row r="108" spans="1:23" x14ac:dyDescent="0.35">
      <c r="B108" s="5"/>
      <c r="C108" s="26">
        <v>183000</v>
      </c>
      <c r="P108" s="84"/>
      <c r="Q108" s="84"/>
      <c r="S108" s="84"/>
      <c r="V108" s="84"/>
    </row>
    <row r="109" spans="1:23" ht="14.4" customHeight="1" x14ac:dyDescent="0.35">
      <c r="A109" s="2" t="s">
        <v>131</v>
      </c>
      <c r="B109" s="8" t="s">
        <v>132</v>
      </c>
      <c r="C109" s="26">
        <v>183000</v>
      </c>
      <c r="D109" s="17">
        <f>400000+163000+6000+35000</f>
        <v>604000</v>
      </c>
      <c r="E109" s="32" t="s">
        <v>520</v>
      </c>
      <c r="F109" s="17">
        <v>370000</v>
      </c>
      <c r="G109" s="17">
        <v>0</v>
      </c>
      <c r="H109" s="17">
        <f>SUM(F109:G109)</f>
        <v>370000</v>
      </c>
      <c r="I109" s="17">
        <v>0</v>
      </c>
      <c r="N109" s="18">
        <v>0</v>
      </c>
      <c r="P109" s="84">
        <f t="shared" si="13"/>
        <v>0</v>
      </c>
      <c r="Q109" s="84"/>
      <c r="S109" s="84"/>
      <c r="T109" s="84">
        <v>0</v>
      </c>
      <c r="V109" s="84">
        <v>0</v>
      </c>
    </row>
    <row r="110" spans="1:23" x14ac:dyDescent="0.35">
      <c r="B110" s="5" t="s">
        <v>77</v>
      </c>
      <c r="C110" s="26"/>
      <c r="D110" s="17">
        <f>SUM(D109)</f>
        <v>604000</v>
      </c>
      <c r="F110" s="20">
        <f>SUM(F109)</f>
        <v>370000</v>
      </c>
      <c r="G110" s="17">
        <f>SUM(G109)</f>
        <v>0</v>
      </c>
      <c r="H110" s="20">
        <f>SUM(F110:G110)</f>
        <v>370000</v>
      </c>
      <c r="I110" s="20">
        <f t="shared" ref="I110:N110" si="21">SUM(I109)</f>
        <v>0</v>
      </c>
      <c r="J110" s="20">
        <f t="shared" si="21"/>
        <v>0</v>
      </c>
      <c r="K110" s="20">
        <f t="shared" si="21"/>
        <v>0</v>
      </c>
      <c r="L110" s="20">
        <f t="shared" si="21"/>
        <v>0</v>
      </c>
      <c r="M110" s="20">
        <f t="shared" si="21"/>
        <v>0</v>
      </c>
      <c r="N110" s="23">
        <f t="shared" si="21"/>
        <v>0</v>
      </c>
      <c r="O110">
        <v>0</v>
      </c>
      <c r="P110" s="84">
        <f t="shared" si="13"/>
        <v>0</v>
      </c>
      <c r="Q110" s="84">
        <v>0</v>
      </c>
      <c r="S110" s="84"/>
      <c r="T110" s="84">
        <v>0</v>
      </c>
      <c r="V110" s="84">
        <v>0</v>
      </c>
    </row>
    <row r="111" spans="1:23" x14ac:dyDescent="0.35">
      <c r="B111" s="8"/>
      <c r="C111" s="26">
        <v>389420</v>
      </c>
      <c r="P111" s="84"/>
      <c r="Q111" s="84"/>
      <c r="S111" s="84"/>
      <c r="V111" s="84"/>
    </row>
    <row r="112" spans="1:23" x14ac:dyDescent="0.35">
      <c r="B112" s="5" t="s">
        <v>133</v>
      </c>
      <c r="C112" s="26"/>
      <c r="D112" s="17">
        <f>D110+D107+D104+D88</f>
        <v>908353</v>
      </c>
      <c r="E112" s="17">
        <f>E110+E107+E104+E88</f>
        <v>0</v>
      </c>
      <c r="F112" s="20">
        <f>F110+F107+F104+F88</f>
        <v>687666</v>
      </c>
      <c r="G112" s="17">
        <f>G110+G107+G104+G88</f>
        <v>0</v>
      </c>
      <c r="H112" s="20">
        <f>SUM(F112:G112)</f>
        <v>687666</v>
      </c>
      <c r="I112" s="20">
        <f t="shared" ref="I112:N112" si="22">I110+I107+I104+I88</f>
        <v>490814.57264020748</v>
      </c>
      <c r="J112" s="20">
        <f t="shared" si="22"/>
        <v>0</v>
      </c>
      <c r="K112" s="20">
        <f t="shared" si="22"/>
        <v>0</v>
      </c>
      <c r="L112" s="20">
        <f t="shared" si="22"/>
        <v>0</v>
      </c>
      <c r="M112" s="20">
        <f t="shared" si="22"/>
        <v>0</v>
      </c>
      <c r="N112" s="23">
        <f t="shared" si="22"/>
        <v>373087</v>
      </c>
      <c r="O112" s="85">
        <f>SUM(O110+O107+O104+O88)</f>
        <v>6102</v>
      </c>
      <c r="P112" s="88">
        <f t="shared" si="13"/>
        <v>379189</v>
      </c>
      <c r="Q112" s="84">
        <f>SUM(Q110+Q107+Q104+Q88)</f>
        <v>221873.94</v>
      </c>
      <c r="S112" s="88"/>
      <c r="T112" s="88">
        <f>SUM(T110+T107+T104+T88)</f>
        <v>549168</v>
      </c>
      <c r="V112" s="88">
        <f>SUM(V110+V107+V104+V88)</f>
        <v>412204</v>
      </c>
    </row>
    <row r="113" spans="1:22" x14ac:dyDescent="0.35">
      <c r="B113" s="5"/>
      <c r="C113" s="26"/>
      <c r="P113" s="84"/>
      <c r="Q113" s="84"/>
      <c r="S113" s="84"/>
      <c r="V113" s="84"/>
    </row>
    <row r="114" spans="1:22" x14ac:dyDescent="0.35">
      <c r="A114" s="3" t="s">
        <v>134</v>
      </c>
      <c r="C114" s="26">
        <v>140500</v>
      </c>
      <c r="E114" s="19" t="s">
        <v>508</v>
      </c>
      <c r="P114" s="84"/>
      <c r="Q114" s="84"/>
      <c r="S114" s="84"/>
      <c r="V114" s="84"/>
    </row>
    <row r="115" spans="1:22" x14ac:dyDescent="0.35">
      <c r="A115" s="2" t="s">
        <v>135</v>
      </c>
      <c r="B115" s="2" t="s">
        <v>2</v>
      </c>
      <c r="C115" s="26"/>
      <c r="D115" s="17">
        <v>144385</v>
      </c>
      <c r="E115" s="2" t="s">
        <v>521</v>
      </c>
      <c r="F115" s="17">
        <v>144385</v>
      </c>
      <c r="G115" s="17">
        <v>0</v>
      </c>
      <c r="H115" s="17">
        <f>SUM(F115:G115)</f>
        <v>144385</v>
      </c>
      <c r="I115" s="17">
        <v>148220.07374999998</v>
      </c>
      <c r="N115" s="18">
        <v>150157</v>
      </c>
      <c r="O115">
        <f>4000+3784</f>
        <v>7784</v>
      </c>
      <c r="P115" s="84">
        <f t="shared" si="13"/>
        <v>157941</v>
      </c>
      <c r="Q115" s="84">
        <v>100739</v>
      </c>
      <c r="R115">
        <v>63.78</v>
      </c>
      <c r="S115" s="84"/>
      <c r="T115" s="84">
        <v>162713</v>
      </c>
      <c r="V115" s="84">
        <v>162713</v>
      </c>
    </row>
    <row r="116" spans="1:22" x14ac:dyDescent="0.35">
      <c r="A116" s="2" t="s">
        <v>136</v>
      </c>
      <c r="B116" s="2" t="s">
        <v>108</v>
      </c>
      <c r="C116" s="26">
        <v>10800</v>
      </c>
      <c r="F116" s="17">
        <v>10000</v>
      </c>
      <c r="G116" s="17">
        <v>0</v>
      </c>
      <c r="H116" s="17">
        <f t="shared" ref="H116:H122" si="23">SUM(F116:G116)</f>
        <v>10000</v>
      </c>
      <c r="I116" s="17">
        <v>0</v>
      </c>
      <c r="P116" s="84">
        <f t="shared" si="13"/>
        <v>0</v>
      </c>
      <c r="Q116" s="84"/>
      <c r="S116" s="84"/>
      <c r="V116" s="84"/>
    </row>
    <row r="117" spans="1:22" x14ac:dyDescent="0.35">
      <c r="A117" s="2" t="s">
        <v>137</v>
      </c>
      <c r="B117" s="2" t="s">
        <v>4</v>
      </c>
      <c r="C117" s="26">
        <v>7100</v>
      </c>
      <c r="D117" s="17">
        <v>11045</v>
      </c>
      <c r="F117" s="17">
        <v>11810</v>
      </c>
      <c r="G117" s="17">
        <v>0</v>
      </c>
      <c r="H117" s="17">
        <f t="shared" si="23"/>
        <v>11810</v>
      </c>
      <c r="I117" s="17">
        <v>11338.835641874999</v>
      </c>
      <c r="N117" s="18">
        <v>11487</v>
      </c>
      <c r="O117">
        <f>306+290</f>
        <v>596</v>
      </c>
      <c r="P117" s="84">
        <f t="shared" si="13"/>
        <v>12083</v>
      </c>
      <c r="Q117" s="84">
        <v>7663</v>
      </c>
      <c r="R117">
        <v>63.42</v>
      </c>
      <c r="S117" s="84"/>
      <c r="T117" s="84">
        <v>12448</v>
      </c>
      <c r="V117" s="84">
        <v>12448</v>
      </c>
    </row>
    <row r="118" spans="1:22" x14ac:dyDescent="0.35">
      <c r="A118" s="2" t="s">
        <v>138</v>
      </c>
      <c r="B118" s="2" t="s">
        <v>6</v>
      </c>
      <c r="C118" s="26">
        <v>15600</v>
      </c>
      <c r="D118" s="17">
        <v>7219</v>
      </c>
      <c r="F118" s="17">
        <v>7219</v>
      </c>
      <c r="G118" s="17">
        <v>0</v>
      </c>
      <c r="H118" s="17">
        <f t="shared" si="23"/>
        <v>7219</v>
      </c>
      <c r="I118" s="17">
        <v>7411.0036874999996</v>
      </c>
      <c r="N118" s="18">
        <v>7508</v>
      </c>
      <c r="O118">
        <f>200+189</f>
        <v>389</v>
      </c>
      <c r="P118" s="84">
        <f t="shared" si="13"/>
        <v>7897</v>
      </c>
      <c r="Q118" s="84">
        <v>4576</v>
      </c>
      <c r="R118">
        <v>54.39</v>
      </c>
      <c r="S118" s="84"/>
      <c r="T118" s="84">
        <v>8136</v>
      </c>
      <c r="V118" s="84">
        <v>8136</v>
      </c>
    </row>
    <row r="119" spans="1:22" x14ac:dyDescent="0.35">
      <c r="A119" s="2" t="s">
        <v>139</v>
      </c>
      <c r="B119" s="2" t="s">
        <v>8</v>
      </c>
      <c r="C119" s="26">
        <v>13500</v>
      </c>
      <c r="D119" s="17">
        <v>17471</v>
      </c>
      <c r="F119" s="17">
        <v>17471</v>
      </c>
      <c r="G119" s="17">
        <v>0</v>
      </c>
      <c r="H119" s="17">
        <f t="shared" si="23"/>
        <v>17471</v>
      </c>
      <c r="I119" s="17">
        <v>17934.628923749999</v>
      </c>
      <c r="N119" s="18">
        <v>19355</v>
      </c>
      <c r="O119">
        <f>516+488</f>
        <v>1004</v>
      </c>
      <c r="P119" s="84">
        <f t="shared" si="13"/>
        <v>20359</v>
      </c>
      <c r="Q119" s="84">
        <v>11797</v>
      </c>
      <c r="R119">
        <v>59.45</v>
      </c>
      <c r="S119" s="84"/>
      <c r="T119" s="84">
        <v>22194</v>
      </c>
      <c r="V119" s="84">
        <v>22194</v>
      </c>
    </row>
    <row r="120" spans="1:22" x14ac:dyDescent="0.35">
      <c r="A120" s="2" t="s">
        <v>140</v>
      </c>
      <c r="B120" s="2" t="s">
        <v>10</v>
      </c>
      <c r="C120" s="26">
        <v>150</v>
      </c>
      <c r="D120" s="17">
        <v>16600</v>
      </c>
      <c r="F120" s="17">
        <v>15588</v>
      </c>
      <c r="G120" s="17">
        <v>0</v>
      </c>
      <c r="H120" s="17">
        <f t="shared" si="23"/>
        <v>15588</v>
      </c>
      <c r="I120" s="17">
        <v>18128</v>
      </c>
      <c r="N120" s="18">
        <v>18128</v>
      </c>
      <c r="P120" s="84">
        <f t="shared" si="13"/>
        <v>18128</v>
      </c>
      <c r="Q120" s="84">
        <v>7661</v>
      </c>
      <c r="R120">
        <v>42.26</v>
      </c>
      <c r="S120" s="84"/>
      <c r="T120" s="84">
        <v>17188</v>
      </c>
      <c r="V120" s="84">
        <v>17188</v>
      </c>
    </row>
    <row r="121" spans="1:22" x14ac:dyDescent="0.35">
      <c r="A121" s="2" t="s">
        <v>141</v>
      </c>
      <c r="B121" s="2" t="s">
        <v>12</v>
      </c>
      <c r="C121" s="26">
        <v>187650</v>
      </c>
      <c r="D121" s="17">
        <v>150</v>
      </c>
      <c r="F121" s="17">
        <v>150</v>
      </c>
      <c r="G121" s="17">
        <v>0</v>
      </c>
      <c r="H121" s="17">
        <f t="shared" si="23"/>
        <v>150</v>
      </c>
      <c r="I121" s="17">
        <f>SUM(G121:H121)</f>
        <v>150</v>
      </c>
      <c r="N121" s="18">
        <v>175</v>
      </c>
      <c r="P121" s="84">
        <f t="shared" si="13"/>
        <v>175</v>
      </c>
      <c r="Q121" s="84">
        <v>150</v>
      </c>
      <c r="R121">
        <v>85.81</v>
      </c>
      <c r="S121" s="84"/>
      <c r="T121" s="84">
        <v>175</v>
      </c>
      <c r="V121" s="84">
        <v>175</v>
      </c>
    </row>
    <row r="122" spans="1:22" x14ac:dyDescent="0.35">
      <c r="B122" s="4" t="s">
        <v>13</v>
      </c>
      <c r="C122" s="26"/>
      <c r="D122" s="17">
        <f>SUM(D115:D121)</f>
        <v>196870</v>
      </c>
      <c r="F122" s="20">
        <f>SUM(F115:F121)</f>
        <v>206623</v>
      </c>
      <c r="G122" s="17">
        <v>0</v>
      </c>
      <c r="H122" s="20">
        <f t="shared" si="23"/>
        <v>206623</v>
      </c>
      <c r="I122" s="20">
        <f t="shared" ref="I122:N122" si="24">SUM(I115:I121)</f>
        <v>203182.54200312495</v>
      </c>
      <c r="J122" s="20">
        <f t="shared" si="24"/>
        <v>0</v>
      </c>
      <c r="K122" s="20">
        <f t="shared" si="24"/>
        <v>0</v>
      </c>
      <c r="L122" s="20">
        <f t="shared" si="24"/>
        <v>0</v>
      </c>
      <c r="M122" s="20">
        <f t="shared" si="24"/>
        <v>0</v>
      </c>
      <c r="N122" s="20">
        <f t="shared" si="24"/>
        <v>206810</v>
      </c>
      <c r="O122" s="20">
        <f>SUM(O115:O121)</f>
        <v>9773</v>
      </c>
      <c r="P122" s="88">
        <f t="shared" si="13"/>
        <v>216583</v>
      </c>
      <c r="Q122" s="84">
        <f>SUM(Q115:Q121)</f>
        <v>132586</v>
      </c>
      <c r="S122" s="88"/>
      <c r="T122" s="88">
        <f>SUM(T115:T121)</f>
        <v>222854</v>
      </c>
      <c r="V122" s="88">
        <f>SUM(V115:V121)</f>
        <v>222854</v>
      </c>
    </row>
    <row r="123" spans="1:22" x14ac:dyDescent="0.35">
      <c r="B123" s="4"/>
      <c r="C123" s="26">
        <v>1200</v>
      </c>
      <c r="P123" s="84"/>
      <c r="Q123" s="84"/>
      <c r="S123" s="84"/>
      <c r="V123" s="84"/>
    </row>
    <row r="124" spans="1:22" x14ac:dyDescent="0.35">
      <c r="A124" s="2" t="s">
        <v>142</v>
      </c>
      <c r="B124" s="2" t="s">
        <v>17</v>
      </c>
      <c r="C124" s="26">
        <v>3000</v>
      </c>
      <c r="D124" s="17">
        <v>1500</v>
      </c>
      <c r="F124" s="17">
        <v>1500</v>
      </c>
      <c r="G124" s="17">
        <v>0</v>
      </c>
      <c r="H124" s="17">
        <f>SUM(F124:G124)</f>
        <v>1500</v>
      </c>
      <c r="I124" s="17">
        <v>1500</v>
      </c>
      <c r="N124" s="18">
        <v>1500</v>
      </c>
      <c r="P124" s="84">
        <f t="shared" si="13"/>
        <v>1500</v>
      </c>
      <c r="Q124" s="84">
        <v>1432</v>
      </c>
      <c r="R124">
        <v>95.44</v>
      </c>
      <c r="S124" s="84"/>
      <c r="T124" s="84">
        <v>2000</v>
      </c>
      <c r="V124" s="84">
        <v>2000</v>
      </c>
    </row>
    <row r="125" spans="1:22" x14ac:dyDescent="0.35">
      <c r="A125" s="2" t="s">
        <v>143</v>
      </c>
      <c r="B125" s="2" t="s">
        <v>19</v>
      </c>
      <c r="C125" s="26">
        <v>6500</v>
      </c>
      <c r="D125" s="17">
        <v>2500</v>
      </c>
      <c r="F125" s="17">
        <v>2500</v>
      </c>
      <c r="G125" s="17">
        <v>0</v>
      </c>
      <c r="H125" s="17">
        <f t="shared" ref="H125:H133" si="25">SUM(F125:G125)</f>
        <v>2500</v>
      </c>
      <c r="I125" s="17">
        <v>2500</v>
      </c>
      <c r="N125" s="18">
        <v>2500</v>
      </c>
      <c r="P125" s="84">
        <f t="shared" si="13"/>
        <v>2500</v>
      </c>
      <c r="Q125" s="84">
        <v>275</v>
      </c>
      <c r="R125">
        <v>11.01</v>
      </c>
      <c r="S125" s="84"/>
      <c r="T125" s="84">
        <v>2500</v>
      </c>
      <c r="V125" s="84">
        <v>2500</v>
      </c>
    </row>
    <row r="126" spans="1:22" x14ac:dyDescent="0.35">
      <c r="A126" s="2" t="s">
        <v>144</v>
      </c>
      <c r="B126" s="2" t="s">
        <v>23</v>
      </c>
      <c r="C126" s="26">
        <v>1100</v>
      </c>
      <c r="D126" s="17">
        <v>6500</v>
      </c>
      <c r="F126" s="17">
        <v>6500</v>
      </c>
      <c r="G126" s="17">
        <v>0</v>
      </c>
      <c r="H126" s="17">
        <f t="shared" si="25"/>
        <v>6500</v>
      </c>
      <c r="I126" s="17">
        <v>6500</v>
      </c>
      <c r="N126" s="29">
        <v>6000</v>
      </c>
      <c r="P126" s="84">
        <f t="shared" si="13"/>
        <v>6000</v>
      </c>
      <c r="Q126" s="84">
        <v>3525</v>
      </c>
      <c r="R126">
        <v>58.75</v>
      </c>
      <c r="S126" s="84"/>
      <c r="T126" s="84">
        <v>7000</v>
      </c>
      <c r="V126" s="84">
        <v>7000</v>
      </c>
    </row>
    <row r="127" spans="1:22" x14ac:dyDescent="0.35">
      <c r="A127" s="2" t="s">
        <v>145</v>
      </c>
      <c r="B127" s="2" t="s">
        <v>99</v>
      </c>
      <c r="C127" s="26">
        <v>4500</v>
      </c>
      <c r="D127" s="17">
        <v>1100</v>
      </c>
      <c r="F127" s="17">
        <v>1100</v>
      </c>
      <c r="G127" s="17">
        <v>0</v>
      </c>
      <c r="H127" s="17">
        <f t="shared" si="25"/>
        <v>1100</v>
      </c>
      <c r="I127" s="17">
        <v>1100</v>
      </c>
      <c r="N127" s="18">
        <v>1100</v>
      </c>
      <c r="P127" s="84">
        <f t="shared" si="13"/>
        <v>1100</v>
      </c>
      <c r="Q127" s="84">
        <v>331</v>
      </c>
      <c r="R127">
        <v>30.09</v>
      </c>
      <c r="S127" s="84"/>
      <c r="T127" s="84">
        <v>1100</v>
      </c>
      <c r="V127" s="84">
        <v>1100</v>
      </c>
    </row>
    <row r="128" spans="1:22" x14ac:dyDescent="0.35">
      <c r="A128" s="2" t="s">
        <v>146</v>
      </c>
      <c r="B128" s="2" t="s">
        <v>33</v>
      </c>
      <c r="C128" s="26">
        <v>500</v>
      </c>
      <c r="D128" s="17">
        <v>4000</v>
      </c>
      <c r="F128" s="17">
        <v>4000</v>
      </c>
      <c r="G128" s="17">
        <v>0</v>
      </c>
      <c r="H128" s="17">
        <f t="shared" si="25"/>
        <v>4000</v>
      </c>
      <c r="I128" s="17">
        <v>4000</v>
      </c>
      <c r="N128" s="18">
        <v>4000</v>
      </c>
      <c r="P128" s="84">
        <f t="shared" si="13"/>
        <v>4000</v>
      </c>
      <c r="Q128" s="84">
        <v>1631</v>
      </c>
      <c r="R128">
        <v>40.78</v>
      </c>
      <c r="S128" s="84"/>
      <c r="T128" s="84">
        <v>4000</v>
      </c>
      <c r="V128" s="84">
        <v>4000</v>
      </c>
    </row>
    <row r="129" spans="1:22" x14ac:dyDescent="0.35">
      <c r="A129" s="2" t="s">
        <v>147</v>
      </c>
      <c r="B129" s="2" t="s">
        <v>39</v>
      </c>
      <c r="C129" s="26">
        <v>5000</v>
      </c>
      <c r="D129" s="17">
        <v>500</v>
      </c>
      <c r="F129" s="17">
        <v>500</v>
      </c>
      <c r="G129" s="17">
        <v>0</v>
      </c>
      <c r="H129" s="17">
        <f t="shared" si="25"/>
        <v>500</v>
      </c>
      <c r="I129" s="17">
        <v>500</v>
      </c>
      <c r="N129" s="18">
        <v>500</v>
      </c>
      <c r="P129" s="84">
        <f t="shared" si="13"/>
        <v>500</v>
      </c>
      <c r="Q129" s="84">
        <v>248</v>
      </c>
      <c r="R129">
        <v>49.66</v>
      </c>
      <c r="S129" s="84"/>
      <c r="T129" s="84">
        <v>500</v>
      </c>
      <c r="V129" s="84">
        <v>500</v>
      </c>
    </row>
    <row r="130" spans="1:22" x14ac:dyDescent="0.35">
      <c r="A130" s="2" t="s">
        <v>148</v>
      </c>
      <c r="B130" s="2" t="s">
        <v>149</v>
      </c>
      <c r="C130" s="26">
        <v>2500</v>
      </c>
      <c r="D130" s="17">
        <v>5000</v>
      </c>
      <c r="F130" s="17">
        <v>4000</v>
      </c>
      <c r="G130" s="17">
        <v>0</v>
      </c>
      <c r="H130" s="17">
        <f t="shared" si="25"/>
        <v>4000</v>
      </c>
      <c r="I130" s="17">
        <v>0</v>
      </c>
      <c r="N130" s="18">
        <v>0</v>
      </c>
      <c r="P130" s="84">
        <f t="shared" si="13"/>
        <v>0</v>
      </c>
      <c r="Q130" s="84"/>
      <c r="S130" s="84"/>
      <c r="T130" s="84">
        <v>0</v>
      </c>
      <c r="V130" s="84">
        <v>0</v>
      </c>
    </row>
    <row r="131" spans="1:22" x14ac:dyDescent="0.35">
      <c r="A131" s="2" t="s">
        <v>150</v>
      </c>
      <c r="B131" s="2" t="s">
        <v>45</v>
      </c>
      <c r="C131" s="26"/>
      <c r="D131" s="17">
        <v>2000</v>
      </c>
      <c r="F131" s="17">
        <v>2000</v>
      </c>
      <c r="G131" s="17">
        <v>0</v>
      </c>
      <c r="H131" s="17">
        <f t="shared" si="25"/>
        <v>2000</v>
      </c>
      <c r="I131" s="17">
        <v>2000</v>
      </c>
      <c r="N131" s="18">
        <v>2000</v>
      </c>
      <c r="P131" s="84">
        <f t="shared" si="13"/>
        <v>2000</v>
      </c>
      <c r="Q131" s="84">
        <v>1121</v>
      </c>
      <c r="R131">
        <v>56.02</v>
      </c>
      <c r="S131" s="84"/>
      <c r="T131" s="84">
        <v>2000</v>
      </c>
      <c r="V131" s="84">
        <v>2000</v>
      </c>
    </row>
    <row r="132" spans="1:22" x14ac:dyDescent="0.35">
      <c r="A132" s="2" t="s">
        <v>151</v>
      </c>
      <c r="B132" s="2" t="s">
        <v>35</v>
      </c>
      <c r="C132" s="26">
        <v>24300</v>
      </c>
      <c r="I132" s="17">
        <v>1500</v>
      </c>
      <c r="N132" s="18">
        <v>1500</v>
      </c>
      <c r="P132" s="84">
        <f t="shared" si="13"/>
        <v>1500</v>
      </c>
      <c r="Q132" s="84">
        <v>1065</v>
      </c>
      <c r="R132">
        <v>70.98</v>
      </c>
      <c r="S132" s="84"/>
      <c r="T132" s="84">
        <v>1500</v>
      </c>
      <c r="V132" s="84">
        <v>1500</v>
      </c>
    </row>
    <row r="133" spans="1:22" x14ac:dyDescent="0.35">
      <c r="B133" s="5" t="s">
        <v>48</v>
      </c>
      <c r="C133" s="26"/>
      <c r="D133" s="17">
        <f>SUM(D124:D131)</f>
        <v>23100</v>
      </c>
      <c r="F133" s="20">
        <f>SUM(F124:F131)</f>
        <v>22100</v>
      </c>
      <c r="G133" s="17">
        <v>0</v>
      </c>
      <c r="H133" s="20">
        <f t="shared" si="25"/>
        <v>22100</v>
      </c>
      <c r="I133" s="20">
        <f t="shared" ref="I133:N133" si="26">SUM(I124:I132)</f>
        <v>19600</v>
      </c>
      <c r="J133" s="20">
        <f t="shared" si="26"/>
        <v>0</v>
      </c>
      <c r="K133" s="20">
        <f t="shared" si="26"/>
        <v>0</v>
      </c>
      <c r="L133" s="20">
        <f t="shared" si="26"/>
        <v>0</v>
      </c>
      <c r="M133" s="20">
        <f t="shared" si="26"/>
        <v>0</v>
      </c>
      <c r="N133" s="23">
        <f t="shared" si="26"/>
        <v>19100</v>
      </c>
      <c r="O133">
        <v>0</v>
      </c>
      <c r="P133" s="88">
        <f t="shared" si="13"/>
        <v>19100</v>
      </c>
      <c r="Q133" s="84">
        <f>SUM(Q124:Q132)</f>
        <v>9628</v>
      </c>
      <c r="S133" s="88"/>
      <c r="T133" s="88">
        <f>SUM(T124:T132)</f>
        <v>20600</v>
      </c>
      <c r="V133" s="88">
        <f>SUM(V124:V132)</f>
        <v>20600</v>
      </c>
    </row>
    <row r="134" spans="1:22" x14ac:dyDescent="0.35">
      <c r="C134" s="26">
        <v>50000</v>
      </c>
      <c r="P134" s="84"/>
      <c r="Q134" s="84"/>
      <c r="S134" s="84"/>
      <c r="V134" s="84"/>
    </row>
    <row r="135" spans="1:22" x14ac:dyDescent="0.35">
      <c r="A135" s="2" t="s">
        <v>152</v>
      </c>
      <c r="B135" s="2" t="s">
        <v>153</v>
      </c>
      <c r="C135" s="26"/>
      <c r="D135" s="17">
        <v>60000</v>
      </c>
      <c r="F135" s="17">
        <v>60000</v>
      </c>
      <c r="G135" s="17">
        <v>0</v>
      </c>
      <c r="H135" s="17">
        <v>7500</v>
      </c>
      <c r="I135" s="17">
        <v>7500</v>
      </c>
      <c r="N135" s="18">
        <v>7500</v>
      </c>
      <c r="P135" s="84">
        <f t="shared" si="13"/>
        <v>7500</v>
      </c>
      <c r="Q135" s="84">
        <v>4023</v>
      </c>
      <c r="R135">
        <v>105.86</v>
      </c>
      <c r="S135" s="84"/>
      <c r="T135" s="84">
        <v>7500</v>
      </c>
      <c r="V135" s="84">
        <v>15000</v>
      </c>
    </row>
    <row r="136" spans="1:22" x14ac:dyDescent="0.35">
      <c r="A136" s="2" t="s">
        <v>154</v>
      </c>
      <c r="B136" s="2" t="s">
        <v>155</v>
      </c>
      <c r="C136" s="26"/>
      <c r="H136" s="17">
        <v>30000</v>
      </c>
      <c r="I136" s="17">
        <v>35000</v>
      </c>
      <c r="N136" s="18">
        <v>35000</v>
      </c>
      <c r="P136" s="84">
        <f t="shared" si="13"/>
        <v>35000</v>
      </c>
      <c r="Q136" s="84">
        <v>19011</v>
      </c>
      <c r="R136">
        <v>67.16</v>
      </c>
      <c r="S136" s="84"/>
      <c r="T136" s="84">
        <v>35000</v>
      </c>
      <c r="V136" s="84">
        <v>35000</v>
      </c>
    </row>
    <row r="137" spans="1:22" x14ac:dyDescent="0.35">
      <c r="A137" s="2" t="s">
        <v>156</v>
      </c>
      <c r="B137" s="2" t="s">
        <v>157</v>
      </c>
      <c r="C137" s="26"/>
      <c r="H137" s="17">
        <v>22500</v>
      </c>
      <c r="I137" s="17">
        <v>27000</v>
      </c>
      <c r="N137" s="18">
        <v>27000</v>
      </c>
      <c r="P137" s="84">
        <f t="shared" ref="P137:P200" si="27">N137+O137</f>
        <v>27000</v>
      </c>
      <c r="Q137" s="84">
        <v>2600</v>
      </c>
      <c r="R137">
        <v>83.33</v>
      </c>
      <c r="S137" s="84"/>
      <c r="T137" s="84">
        <v>27000</v>
      </c>
      <c r="V137" s="84">
        <v>27000</v>
      </c>
    </row>
    <row r="138" spans="1:22" x14ac:dyDescent="0.35">
      <c r="A138" s="2" t="s">
        <v>158</v>
      </c>
      <c r="B138" s="2" t="s">
        <v>159</v>
      </c>
      <c r="C138" s="26">
        <v>36000</v>
      </c>
      <c r="D138" s="17">
        <v>10000</v>
      </c>
      <c r="F138" s="17">
        <v>0</v>
      </c>
      <c r="G138" s="17">
        <v>0</v>
      </c>
      <c r="H138" s="17">
        <f t="shared" ref="H138:H143" si="28">SUM(F138:G138)</f>
        <v>0</v>
      </c>
      <c r="I138" s="17">
        <v>0</v>
      </c>
      <c r="N138" s="18">
        <v>0</v>
      </c>
      <c r="P138" s="84">
        <f t="shared" si="27"/>
        <v>0</v>
      </c>
      <c r="Q138" s="84"/>
      <c r="S138" s="84"/>
      <c r="T138" s="84">
        <v>0</v>
      </c>
      <c r="V138" s="84">
        <v>0</v>
      </c>
    </row>
    <row r="139" spans="1:22" x14ac:dyDescent="0.35">
      <c r="A139" s="2" t="s">
        <v>160</v>
      </c>
      <c r="B139" s="2" t="s">
        <v>161</v>
      </c>
      <c r="C139" s="26">
        <v>58250</v>
      </c>
      <c r="D139" s="17">
        <v>36000</v>
      </c>
      <c r="E139" s="2" t="s">
        <v>522</v>
      </c>
      <c r="F139" s="17">
        <v>36000</v>
      </c>
      <c r="G139" s="17">
        <v>0</v>
      </c>
      <c r="H139" s="17">
        <f t="shared" si="28"/>
        <v>36000</v>
      </c>
      <c r="I139" s="17">
        <v>38520</v>
      </c>
      <c r="N139" s="31">
        <v>40863</v>
      </c>
      <c r="P139" s="84">
        <f t="shared" si="27"/>
        <v>40863</v>
      </c>
      <c r="Q139" s="84">
        <v>26783</v>
      </c>
      <c r="S139" s="84"/>
      <c r="T139" s="84">
        <v>42900</v>
      </c>
      <c r="V139" s="84">
        <v>42900</v>
      </c>
    </row>
    <row r="140" spans="1:22" x14ac:dyDescent="0.35">
      <c r="A140" s="2" t="s">
        <v>162</v>
      </c>
      <c r="B140" s="2" t="s">
        <v>163</v>
      </c>
      <c r="C140" s="26">
        <v>75000</v>
      </c>
      <c r="D140" s="17">
        <v>58250</v>
      </c>
      <c r="E140" s="2" t="s">
        <v>523</v>
      </c>
      <c r="F140" s="17">
        <v>64900</v>
      </c>
      <c r="G140" s="17">
        <v>0</v>
      </c>
      <c r="H140" s="17">
        <f t="shared" si="28"/>
        <v>64900</v>
      </c>
      <c r="I140" s="17">
        <v>64900</v>
      </c>
      <c r="N140" s="18">
        <v>64900</v>
      </c>
      <c r="P140" s="84">
        <f t="shared" si="27"/>
        <v>64900</v>
      </c>
      <c r="Q140" s="84">
        <v>42211</v>
      </c>
      <c r="S140" s="84"/>
      <c r="T140" s="84">
        <v>64900</v>
      </c>
      <c r="V140" s="84">
        <v>64900</v>
      </c>
    </row>
    <row r="141" spans="1:22" x14ac:dyDescent="0.35">
      <c r="A141" s="2" t="s">
        <v>164</v>
      </c>
      <c r="B141" s="6" t="s">
        <v>50</v>
      </c>
      <c r="C141" s="26">
        <v>4000</v>
      </c>
      <c r="D141" s="17">
        <v>20000</v>
      </c>
      <c r="E141" s="2" t="s">
        <v>524</v>
      </c>
      <c r="F141" s="17">
        <v>20000</v>
      </c>
      <c r="G141" s="17">
        <v>60000</v>
      </c>
      <c r="H141" s="17">
        <f t="shared" si="28"/>
        <v>80000</v>
      </c>
      <c r="I141" s="17">
        <v>0</v>
      </c>
      <c r="N141" s="18">
        <v>0</v>
      </c>
      <c r="O141">
        <v>7012.5</v>
      </c>
      <c r="P141" s="84">
        <f t="shared" si="27"/>
        <v>7012.5</v>
      </c>
      <c r="Q141" s="84">
        <v>33063</v>
      </c>
      <c r="R141">
        <v>119.26</v>
      </c>
      <c r="S141" s="84"/>
      <c r="T141" s="84">
        <v>0</v>
      </c>
      <c r="V141" s="84">
        <v>0</v>
      </c>
    </row>
    <row r="142" spans="1:22" x14ac:dyDescent="0.35">
      <c r="A142" s="2" t="s">
        <v>165</v>
      </c>
      <c r="B142" s="6" t="s">
        <v>166</v>
      </c>
      <c r="C142" s="26">
        <v>223250</v>
      </c>
      <c r="D142" s="17">
        <v>12000</v>
      </c>
      <c r="F142" s="17">
        <v>10000</v>
      </c>
      <c r="G142" s="17">
        <v>0</v>
      </c>
      <c r="H142" s="17">
        <f t="shared" si="28"/>
        <v>10000</v>
      </c>
      <c r="I142" s="17">
        <v>5000</v>
      </c>
      <c r="N142" s="18">
        <v>9000</v>
      </c>
      <c r="P142" s="84">
        <f t="shared" si="27"/>
        <v>9000</v>
      </c>
      <c r="Q142" s="84">
        <v>0</v>
      </c>
      <c r="S142" s="84"/>
      <c r="T142" s="84">
        <v>9000</v>
      </c>
      <c r="V142" s="84">
        <v>9000</v>
      </c>
    </row>
    <row r="143" spans="1:22" x14ac:dyDescent="0.35">
      <c r="B143" s="5" t="s">
        <v>105</v>
      </c>
      <c r="C143" s="26"/>
      <c r="D143" s="17">
        <f>SUM(D135:D142)</f>
        <v>196250</v>
      </c>
      <c r="F143" s="20">
        <f>SUM(F135:F142)</f>
        <v>190900</v>
      </c>
      <c r="G143" s="17">
        <f>SUM(G135:G142)</f>
        <v>60000</v>
      </c>
      <c r="H143" s="20">
        <f t="shared" si="28"/>
        <v>250900</v>
      </c>
      <c r="I143" s="20">
        <f t="shared" ref="I143:N143" si="29">SUM(I135:I142)</f>
        <v>177920</v>
      </c>
      <c r="J143" s="20">
        <f t="shared" si="29"/>
        <v>0</v>
      </c>
      <c r="K143" s="20">
        <f t="shared" si="29"/>
        <v>0</v>
      </c>
      <c r="L143" s="20">
        <f t="shared" si="29"/>
        <v>0</v>
      </c>
      <c r="M143" s="20">
        <f t="shared" si="29"/>
        <v>0</v>
      </c>
      <c r="N143" s="23">
        <f t="shared" si="29"/>
        <v>184263</v>
      </c>
      <c r="O143" s="20">
        <f>SUM(O135:O142)</f>
        <v>7012.5</v>
      </c>
      <c r="P143" s="88">
        <f>SUM(P135:P142)</f>
        <v>191275.5</v>
      </c>
      <c r="Q143" s="84">
        <f>SUM(Q135:Q142)</f>
        <v>127691</v>
      </c>
      <c r="S143" s="88"/>
      <c r="T143" s="88">
        <f>SUM(T135:T142)</f>
        <v>186300</v>
      </c>
      <c r="V143" s="88">
        <f>SUM(V135:V142)</f>
        <v>193800</v>
      </c>
    </row>
    <row r="144" spans="1:22" x14ac:dyDescent="0.35">
      <c r="B144" s="5"/>
      <c r="C144" s="26"/>
      <c r="P144" s="84"/>
      <c r="Q144" s="84"/>
      <c r="S144" s="84"/>
      <c r="V144" s="84"/>
    </row>
    <row r="145" spans="1:22" x14ac:dyDescent="0.35">
      <c r="A145" s="2" t="s">
        <v>167</v>
      </c>
      <c r="B145" s="6" t="s">
        <v>168</v>
      </c>
      <c r="C145" s="26">
        <v>55000</v>
      </c>
      <c r="D145" s="17">
        <v>252000</v>
      </c>
      <c r="E145" s="2" t="s">
        <v>525</v>
      </c>
      <c r="F145" s="17">
        <v>127000</v>
      </c>
      <c r="G145" s="17">
        <v>0</v>
      </c>
      <c r="H145" s="17">
        <f>SUM(F145:G145)</f>
        <v>127000</v>
      </c>
      <c r="I145" s="17">
        <v>153000</v>
      </c>
      <c r="N145" s="18">
        <v>153000</v>
      </c>
      <c r="O145">
        <v>42000</v>
      </c>
      <c r="P145" s="84">
        <f t="shared" si="27"/>
        <v>195000</v>
      </c>
      <c r="Q145" s="84">
        <v>195000</v>
      </c>
      <c r="S145" s="84"/>
      <c r="T145" s="84">
        <v>0</v>
      </c>
      <c r="V145" s="84">
        <v>0</v>
      </c>
    </row>
    <row r="146" spans="1:22" x14ac:dyDescent="0.35">
      <c r="B146" s="5" t="s">
        <v>77</v>
      </c>
      <c r="C146" s="26"/>
      <c r="D146" s="17">
        <f>SUM(D145)</f>
        <v>252000</v>
      </c>
      <c r="E146" s="17">
        <f>SUM(E145)</f>
        <v>0</v>
      </c>
      <c r="F146" s="20">
        <f>SUM(F145)</f>
        <v>127000</v>
      </c>
      <c r="G146" s="17">
        <f>SUM(G145)</f>
        <v>0</v>
      </c>
      <c r="H146" s="20">
        <f>SUM(F146:G146)</f>
        <v>127000</v>
      </c>
      <c r="I146" s="20">
        <f t="shared" ref="I146:N146" si="30">SUM(I145)</f>
        <v>153000</v>
      </c>
      <c r="J146" s="20">
        <f t="shared" si="30"/>
        <v>0</v>
      </c>
      <c r="K146" s="20">
        <f t="shared" si="30"/>
        <v>0</v>
      </c>
      <c r="L146" s="20">
        <f t="shared" si="30"/>
        <v>0</v>
      </c>
      <c r="M146" s="20">
        <f t="shared" si="30"/>
        <v>0</v>
      </c>
      <c r="N146" s="23">
        <f t="shared" si="30"/>
        <v>153000</v>
      </c>
      <c r="O146" s="20">
        <f>SUM(O145)</f>
        <v>42000</v>
      </c>
      <c r="P146" s="88">
        <f t="shared" si="27"/>
        <v>195000</v>
      </c>
      <c r="Q146" s="84">
        <f>SUM(Q145)</f>
        <v>195000</v>
      </c>
      <c r="S146" s="88"/>
      <c r="T146" s="88">
        <f>SUM(T145)</f>
        <v>0</v>
      </c>
      <c r="V146" s="84">
        <f>SUM(V145)</f>
        <v>0</v>
      </c>
    </row>
    <row r="147" spans="1:22" x14ac:dyDescent="0.35">
      <c r="B147" s="8"/>
      <c r="C147" s="26">
        <v>490200</v>
      </c>
      <c r="P147" s="84"/>
      <c r="Q147" s="84"/>
      <c r="S147" s="84"/>
      <c r="V147" s="84"/>
    </row>
    <row r="148" spans="1:22" x14ac:dyDescent="0.35">
      <c r="B148" s="5" t="s">
        <v>169</v>
      </c>
      <c r="C148" s="26"/>
      <c r="D148" s="17">
        <f>D146+D143+D133+D122</f>
        <v>668220</v>
      </c>
      <c r="E148" s="17">
        <f>E146+E143+E133+E122</f>
        <v>0</v>
      </c>
      <c r="F148" s="17">
        <f>F146+F143+F133+F122</f>
        <v>546623</v>
      </c>
      <c r="G148" s="17">
        <f>G146+G143+G133+G122</f>
        <v>60000</v>
      </c>
      <c r="H148" s="20">
        <f>SUM(F148:G148)</f>
        <v>606623</v>
      </c>
      <c r="I148" s="20">
        <f t="shared" ref="I148:N148" si="31">+I146+I143+I133+I122</f>
        <v>553702.54200312495</v>
      </c>
      <c r="J148" s="20">
        <f t="shared" si="31"/>
        <v>0</v>
      </c>
      <c r="K148" s="20">
        <f t="shared" si="31"/>
        <v>0</v>
      </c>
      <c r="L148" s="20">
        <f t="shared" si="31"/>
        <v>0</v>
      </c>
      <c r="M148" s="20">
        <f t="shared" si="31"/>
        <v>0</v>
      </c>
      <c r="N148" s="23">
        <f t="shared" si="31"/>
        <v>563173</v>
      </c>
      <c r="O148" s="20">
        <f>SUM(O146+O143+O133+O122)</f>
        <v>58785.5</v>
      </c>
      <c r="P148" s="88">
        <f t="shared" si="27"/>
        <v>621958.5</v>
      </c>
      <c r="Q148" s="88">
        <f>SUM(Q146+Q143+Q133+Q122)</f>
        <v>464905</v>
      </c>
      <c r="S148" s="88"/>
      <c r="T148" s="88">
        <f>SUM(T146+T143+T133+T122)</f>
        <v>429754</v>
      </c>
      <c r="V148" s="88">
        <f>SUM(V146+V143+V133+V122)</f>
        <v>437254</v>
      </c>
    </row>
    <row r="149" spans="1:22" x14ac:dyDescent="0.35">
      <c r="B149" s="4"/>
      <c r="C149" s="26"/>
      <c r="P149" s="84"/>
      <c r="Q149" s="84"/>
      <c r="S149" s="84"/>
      <c r="V149" s="84"/>
    </row>
    <row r="150" spans="1:22" x14ac:dyDescent="0.35">
      <c r="A150" s="3" t="s">
        <v>170</v>
      </c>
      <c r="C150" s="26">
        <v>1312000</v>
      </c>
      <c r="E150" s="19" t="s">
        <v>508</v>
      </c>
      <c r="P150" s="84"/>
      <c r="Q150" s="84"/>
      <c r="S150" s="84"/>
      <c r="V150" s="84"/>
    </row>
    <row r="151" spans="1:22" x14ac:dyDescent="0.35">
      <c r="A151" s="2" t="s">
        <v>171</v>
      </c>
      <c r="B151" s="2" t="s">
        <v>83</v>
      </c>
      <c r="C151" s="26"/>
      <c r="D151" s="17">
        <v>1454292</v>
      </c>
      <c r="E151" s="33" t="s">
        <v>526</v>
      </c>
      <c r="F151" s="17">
        <v>1327521</v>
      </c>
      <c r="G151" s="17">
        <v>70000</v>
      </c>
      <c r="H151" s="17">
        <f>SUM(F151:G151)</f>
        <v>1397521</v>
      </c>
      <c r="I151" s="17">
        <v>1545419</v>
      </c>
      <c r="N151" s="18">
        <f>1549967+38590</f>
        <v>1588557</v>
      </c>
      <c r="O151">
        <f>5000+46000+36034</f>
        <v>87034</v>
      </c>
      <c r="P151" s="84">
        <f t="shared" si="27"/>
        <v>1675591</v>
      </c>
      <c r="Q151" s="84">
        <v>1116422</v>
      </c>
      <c r="R151">
        <v>66.819999999999993</v>
      </c>
      <c r="S151" s="84"/>
      <c r="T151" s="84">
        <v>1627155</v>
      </c>
      <c r="V151" s="84">
        <v>1627155</v>
      </c>
    </row>
    <row r="152" spans="1:22" x14ac:dyDescent="0.35">
      <c r="A152" s="2" t="s">
        <v>172</v>
      </c>
      <c r="B152" s="2" t="s">
        <v>173</v>
      </c>
      <c r="C152" s="26">
        <v>15000</v>
      </c>
      <c r="D152" s="17">
        <v>26651</v>
      </c>
      <c r="E152" s="33"/>
      <c r="F152" s="17">
        <v>25750</v>
      </c>
      <c r="G152" s="17">
        <v>0</v>
      </c>
      <c r="H152" s="17">
        <f t="shared" ref="H152:H162" si="32">SUM(F152:G152)</f>
        <v>25750</v>
      </c>
      <c r="I152" s="17">
        <v>36500</v>
      </c>
      <c r="N152" s="18">
        <v>36500</v>
      </c>
      <c r="O152">
        <f>5000+2180</f>
        <v>7180</v>
      </c>
      <c r="P152" s="84">
        <f t="shared" si="27"/>
        <v>43680</v>
      </c>
      <c r="Q152" s="84">
        <v>54658</v>
      </c>
      <c r="R152">
        <v>125.13</v>
      </c>
      <c r="S152" s="84"/>
      <c r="T152" s="84">
        <v>62500</v>
      </c>
      <c r="V152" s="84">
        <v>62500</v>
      </c>
    </row>
    <row r="153" spans="1:22" x14ac:dyDescent="0.35">
      <c r="A153" s="2" t="s">
        <v>174</v>
      </c>
      <c r="B153" s="2" t="s">
        <v>175</v>
      </c>
      <c r="C153" s="26">
        <v>44750</v>
      </c>
      <c r="D153" s="17">
        <v>18000</v>
      </c>
      <c r="E153" s="33"/>
      <c r="F153" s="17">
        <v>18000</v>
      </c>
      <c r="G153" s="17">
        <v>0</v>
      </c>
      <c r="H153" s="17">
        <f t="shared" si="32"/>
        <v>18000</v>
      </c>
      <c r="I153" s="17">
        <v>18000</v>
      </c>
      <c r="N153" s="18">
        <v>18000</v>
      </c>
      <c r="P153" s="84">
        <f t="shared" si="27"/>
        <v>18000</v>
      </c>
      <c r="Q153" s="84">
        <v>17796</v>
      </c>
      <c r="R153">
        <v>98.86</v>
      </c>
      <c r="S153" s="84"/>
      <c r="T153" s="84">
        <v>18000</v>
      </c>
      <c r="V153" s="84">
        <v>18000</v>
      </c>
    </row>
    <row r="154" spans="1:22" x14ac:dyDescent="0.35">
      <c r="A154" s="2" t="s">
        <v>176</v>
      </c>
      <c r="B154" s="2" t="s">
        <v>177</v>
      </c>
      <c r="C154" s="26"/>
      <c r="D154" s="17">
        <v>25759.71</v>
      </c>
      <c r="F154" s="17">
        <v>25759.71</v>
      </c>
      <c r="G154" s="17">
        <v>0</v>
      </c>
      <c r="H154" s="17">
        <f t="shared" si="32"/>
        <v>25759.71</v>
      </c>
      <c r="I154" s="17">
        <v>35508</v>
      </c>
      <c r="N154" s="31">
        <v>47208</v>
      </c>
      <c r="P154" s="84">
        <f t="shared" si="27"/>
        <v>47208</v>
      </c>
      <c r="Q154" s="84">
        <v>26657</v>
      </c>
      <c r="R154">
        <v>56.46</v>
      </c>
      <c r="S154" s="84"/>
      <c r="T154" s="84">
        <v>51200</v>
      </c>
      <c r="V154" s="84">
        <v>51200</v>
      </c>
    </row>
    <row r="155" spans="1:22" x14ac:dyDescent="0.35">
      <c r="A155" s="2" t="s">
        <v>178</v>
      </c>
      <c r="B155" s="2" t="s">
        <v>179</v>
      </c>
      <c r="C155" s="2">
        <v>105000</v>
      </c>
      <c r="D155" s="17">
        <v>38590</v>
      </c>
      <c r="F155" s="17">
        <v>38590</v>
      </c>
      <c r="G155" s="17">
        <v>0</v>
      </c>
      <c r="H155" s="17">
        <f t="shared" si="32"/>
        <v>38590</v>
      </c>
      <c r="I155" s="17">
        <v>38590</v>
      </c>
      <c r="N155" s="18">
        <v>0</v>
      </c>
      <c r="P155" s="84">
        <f t="shared" si="27"/>
        <v>0</v>
      </c>
      <c r="Q155" s="84"/>
      <c r="S155" s="84"/>
      <c r="V155" s="84"/>
    </row>
    <row r="156" spans="1:22" x14ac:dyDescent="0.35">
      <c r="A156" s="2" t="s">
        <v>180</v>
      </c>
      <c r="B156" s="2" t="s">
        <v>4</v>
      </c>
      <c r="C156" s="26">
        <v>65100</v>
      </c>
      <c r="D156" s="17">
        <v>116640</v>
      </c>
      <c r="F156" s="17">
        <v>108951</v>
      </c>
      <c r="G156" s="17">
        <v>0</v>
      </c>
      <c r="H156" s="17">
        <f t="shared" si="32"/>
        <v>108951</v>
      </c>
      <c r="I156" s="17">
        <v>129158</v>
      </c>
      <c r="N156" s="18">
        <v>130401</v>
      </c>
      <c r="O156">
        <f>3902+2926</f>
        <v>6828</v>
      </c>
      <c r="P156" s="84">
        <f t="shared" si="27"/>
        <v>137229</v>
      </c>
      <c r="Q156" s="84">
        <v>91785</v>
      </c>
      <c r="R156">
        <v>66.88</v>
      </c>
      <c r="S156" s="84"/>
      <c r="T156" s="84">
        <v>138597</v>
      </c>
      <c r="V156" s="84">
        <v>138597</v>
      </c>
    </row>
    <row r="157" spans="1:22" x14ac:dyDescent="0.35">
      <c r="A157" s="2" t="s">
        <v>181</v>
      </c>
      <c r="B157" s="2" t="s">
        <v>6</v>
      </c>
      <c r="C157" s="26">
        <v>157500</v>
      </c>
      <c r="D157" s="17">
        <v>72089</v>
      </c>
      <c r="F157" s="17">
        <v>68396</v>
      </c>
      <c r="G157" s="17">
        <v>0</v>
      </c>
      <c r="H157" s="17">
        <f t="shared" si="32"/>
        <v>68396</v>
      </c>
      <c r="I157" s="17">
        <v>79167.556236249991</v>
      </c>
      <c r="N157" s="18">
        <v>79395</v>
      </c>
      <c r="O157">
        <f>2300+1803</f>
        <v>4103</v>
      </c>
      <c r="P157" s="84">
        <f t="shared" si="27"/>
        <v>83498</v>
      </c>
      <c r="Q157" s="84">
        <v>56476</v>
      </c>
      <c r="R157">
        <v>67.63</v>
      </c>
      <c r="S157" s="84"/>
      <c r="T157" s="84">
        <v>83004</v>
      </c>
      <c r="V157" s="84">
        <v>83004</v>
      </c>
    </row>
    <row r="158" spans="1:22" x14ac:dyDescent="0.35">
      <c r="A158" s="2" t="s">
        <v>182</v>
      </c>
      <c r="B158" s="2" t="s">
        <v>8</v>
      </c>
      <c r="C158" s="26">
        <v>160000</v>
      </c>
      <c r="D158" s="17">
        <v>188873</v>
      </c>
      <c r="F158" s="17">
        <v>178321</v>
      </c>
      <c r="G158" s="17">
        <v>0</v>
      </c>
      <c r="H158" s="17">
        <f t="shared" si="32"/>
        <v>178321</v>
      </c>
      <c r="I158" s="17">
        <v>207418.99733897502</v>
      </c>
      <c r="N158" s="18">
        <v>223894</v>
      </c>
      <c r="O158">
        <f>6459+5061</f>
        <v>11520</v>
      </c>
      <c r="P158" s="84">
        <f t="shared" si="27"/>
        <v>235414</v>
      </c>
      <c r="Q158" s="84">
        <v>158122</v>
      </c>
      <c r="R158">
        <v>67.16</v>
      </c>
      <c r="S158" s="84"/>
      <c r="T158" s="84">
        <v>251337</v>
      </c>
      <c r="V158" s="84">
        <v>251337</v>
      </c>
    </row>
    <row r="159" spans="1:22" x14ac:dyDescent="0.35">
      <c r="A159" s="2" t="s">
        <v>183</v>
      </c>
      <c r="B159" s="2" t="s">
        <v>10</v>
      </c>
      <c r="C159" s="26">
        <v>19000</v>
      </c>
      <c r="D159" s="17">
        <v>190762</v>
      </c>
      <c r="F159" s="17">
        <v>167571</v>
      </c>
      <c r="G159" s="17">
        <v>0</v>
      </c>
      <c r="H159" s="17">
        <f t="shared" si="32"/>
        <v>167571</v>
      </c>
      <c r="I159" s="17">
        <v>208472</v>
      </c>
      <c r="N159" s="18">
        <v>208472</v>
      </c>
      <c r="P159" s="84">
        <f t="shared" si="27"/>
        <v>208472</v>
      </c>
      <c r="Q159" s="84">
        <v>95136</v>
      </c>
      <c r="R159">
        <v>45.63</v>
      </c>
      <c r="S159" s="84"/>
      <c r="T159" s="84">
        <v>189068</v>
      </c>
      <c r="V159" s="84">
        <v>189068</v>
      </c>
    </row>
    <row r="160" spans="1:22" x14ac:dyDescent="0.35">
      <c r="A160" s="2" t="s">
        <v>184</v>
      </c>
      <c r="B160" s="2" t="s">
        <v>185</v>
      </c>
      <c r="C160" s="26">
        <v>8000</v>
      </c>
      <c r="D160" s="17">
        <v>21000</v>
      </c>
      <c r="F160" s="17">
        <v>21000</v>
      </c>
      <c r="G160" s="17">
        <v>0</v>
      </c>
      <c r="H160" s="17">
        <f t="shared" si="32"/>
        <v>21000</v>
      </c>
      <c r="I160" s="17">
        <v>23000</v>
      </c>
      <c r="N160" s="18">
        <v>24000</v>
      </c>
      <c r="P160" s="84">
        <f t="shared" si="27"/>
        <v>24000</v>
      </c>
      <c r="Q160" s="84">
        <v>26355</v>
      </c>
      <c r="R160">
        <v>109.81</v>
      </c>
      <c r="S160" s="84"/>
      <c r="T160" s="84">
        <v>24000</v>
      </c>
      <c r="V160" s="84">
        <v>24000</v>
      </c>
    </row>
    <row r="161" spans="1:23" x14ac:dyDescent="0.35">
      <c r="A161" s="2" t="s">
        <v>186</v>
      </c>
      <c r="B161" s="2" t="s">
        <v>187</v>
      </c>
      <c r="C161" s="26">
        <v>1886350</v>
      </c>
      <c r="D161" s="17">
        <v>8400</v>
      </c>
      <c r="F161" s="17">
        <v>8400</v>
      </c>
      <c r="G161" s="17">
        <v>0</v>
      </c>
      <c r="H161" s="17">
        <f t="shared" si="32"/>
        <v>8400</v>
      </c>
      <c r="I161" s="17">
        <v>8600</v>
      </c>
      <c r="N161" s="18">
        <v>8600</v>
      </c>
      <c r="P161" s="84">
        <f t="shared" si="27"/>
        <v>8600</v>
      </c>
      <c r="Q161" s="84">
        <v>7488</v>
      </c>
      <c r="R161">
        <v>87.07</v>
      </c>
      <c r="S161" s="84"/>
      <c r="T161" s="84">
        <v>8600</v>
      </c>
      <c r="V161" s="84">
        <v>9000</v>
      </c>
      <c r="W161" t="s">
        <v>772</v>
      </c>
    </row>
    <row r="162" spans="1:23" x14ac:dyDescent="0.35">
      <c r="B162" s="5" t="s">
        <v>13</v>
      </c>
      <c r="C162" s="26"/>
      <c r="D162" s="17">
        <f>SUM(D151:D161)</f>
        <v>2161056.71</v>
      </c>
      <c r="F162" s="20">
        <f>SUM(F151:F161)</f>
        <v>1988259.71</v>
      </c>
      <c r="G162" s="17">
        <f>SUM(G151:G161)</f>
        <v>70000</v>
      </c>
      <c r="H162" s="20">
        <f t="shared" si="32"/>
        <v>2058259.71</v>
      </c>
      <c r="I162" s="20">
        <f t="shared" ref="I162:N162" si="33">SUM(I151:I161)</f>
        <v>2329833.5535752252</v>
      </c>
      <c r="J162" s="20">
        <f t="shared" si="33"/>
        <v>0</v>
      </c>
      <c r="K162" s="20">
        <f t="shared" si="33"/>
        <v>0</v>
      </c>
      <c r="L162" s="20">
        <f t="shared" si="33"/>
        <v>0</v>
      </c>
      <c r="M162" s="20">
        <f t="shared" si="33"/>
        <v>0</v>
      </c>
      <c r="N162" s="20">
        <f t="shared" si="33"/>
        <v>2365027</v>
      </c>
      <c r="O162" s="20">
        <f>SUM(O151:O161)</f>
        <v>116665</v>
      </c>
      <c r="P162" s="88">
        <f t="shared" si="27"/>
        <v>2481692</v>
      </c>
      <c r="Q162" s="84">
        <f>SUM(Q151:Q161)</f>
        <v>1650895</v>
      </c>
      <c r="S162" s="88"/>
      <c r="T162" s="88">
        <f>SUM(T151:T161)</f>
        <v>2453461</v>
      </c>
      <c r="V162" s="88">
        <f>SUM(V151:V161)</f>
        <v>2453861</v>
      </c>
    </row>
    <row r="163" spans="1:23" x14ac:dyDescent="0.35">
      <c r="C163" s="26">
        <v>13000</v>
      </c>
      <c r="P163" s="84"/>
      <c r="Q163" s="84"/>
      <c r="S163" s="84"/>
      <c r="V163" s="84"/>
    </row>
    <row r="164" spans="1:23" x14ac:dyDescent="0.35">
      <c r="A164" s="2" t="s">
        <v>188</v>
      </c>
      <c r="B164" s="2" t="s">
        <v>189</v>
      </c>
      <c r="C164" s="26">
        <v>8000</v>
      </c>
      <c r="D164" s="17">
        <v>17000</v>
      </c>
      <c r="E164" s="33"/>
      <c r="F164" s="17">
        <v>16000</v>
      </c>
      <c r="G164" s="17">
        <v>0</v>
      </c>
      <c r="H164" s="17">
        <f>SUM(F164:G164)</f>
        <v>16000</v>
      </c>
      <c r="I164" s="17">
        <v>22000</v>
      </c>
      <c r="N164" s="30">
        <v>23000</v>
      </c>
      <c r="P164" s="84">
        <f t="shared" si="27"/>
        <v>23000</v>
      </c>
      <c r="Q164" s="84">
        <v>25982</v>
      </c>
      <c r="R164">
        <v>134.59</v>
      </c>
      <c r="S164" s="84"/>
      <c r="T164" s="84">
        <v>30000</v>
      </c>
      <c r="U164" t="s">
        <v>822</v>
      </c>
      <c r="V164" s="84">
        <v>30000</v>
      </c>
    </row>
    <row r="165" spans="1:23" x14ac:dyDescent="0.35">
      <c r="A165" s="2" t="s">
        <v>190</v>
      </c>
      <c r="B165" s="2" t="s">
        <v>191</v>
      </c>
      <c r="C165" s="26">
        <v>38000</v>
      </c>
      <c r="D165" s="17">
        <v>8000</v>
      </c>
      <c r="E165" s="33"/>
      <c r="F165" s="17">
        <v>8000</v>
      </c>
      <c r="G165" s="17">
        <v>0</v>
      </c>
      <c r="H165" s="17">
        <f t="shared" ref="H165:H179" si="34">SUM(F165:G165)</f>
        <v>8000</v>
      </c>
      <c r="I165" s="17">
        <v>10000</v>
      </c>
      <c r="N165" s="18">
        <v>10000</v>
      </c>
      <c r="P165" s="84">
        <f t="shared" si="27"/>
        <v>10000</v>
      </c>
      <c r="Q165" s="84">
        <v>6782</v>
      </c>
      <c r="R165">
        <v>67.819999999999993</v>
      </c>
      <c r="S165" s="84"/>
      <c r="T165" s="84">
        <v>10000</v>
      </c>
      <c r="V165" s="84">
        <v>10000</v>
      </c>
    </row>
    <row r="166" spans="1:23" x14ac:dyDescent="0.35">
      <c r="A166" s="2" t="s">
        <v>192</v>
      </c>
      <c r="B166" s="2" t="s">
        <v>193</v>
      </c>
      <c r="C166" s="26">
        <v>12000</v>
      </c>
      <c r="D166" s="17">
        <v>45000</v>
      </c>
      <c r="E166" s="33"/>
      <c r="F166" s="17">
        <v>47000</v>
      </c>
      <c r="G166" s="17">
        <v>0</v>
      </c>
      <c r="H166" s="17">
        <f t="shared" si="34"/>
        <v>47000</v>
      </c>
      <c r="I166" s="17">
        <v>55500</v>
      </c>
      <c r="N166" s="18">
        <v>55500</v>
      </c>
      <c r="P166" s="84">
        <f t="shared" si="27"/>
        <v>55500</v>
      </c>
      <c r="Q166" s="84">
        <v>35045</v>
      </c>
      <c r="R166">
        <v>63.14</v>
      </c>
      <c r="S166" s="84"/>
      <c r="T166" s="84">
        <v>60000</v>
      </c>
      <c r="V166" s="84">
        <v>60000</v>
      </c>
    </row>
    <row r="167" spans="1:23" x14ac:dyDescent="0.35">
      <c r="A167" s="2" t="s">
        <v>194</v>
      </c>
      <c r="B167" s="2" t="s">
        <v>195</v>
      </c>
      <c r="C167" s="26">
        <v>17000</v>
      </c>
      <c r="D167" s="17">
        <v>10000</v>
      </c>
      <c r="E167" s="33"/>
      <c r="F167" s="17">
        <v>10000</v>
      </c>
      <c r="G167" s="17">
        <v>0</v>
      </c>
      <c r="H167" s="17">
        <f t="shared" si="34"/>
        <v>10000</v>
      </c>
      <c r="I167" s="17">
        <v>12000</v>
      </c>
      <c r="N167" s="29">
        <v>11500</v>
      </c>
      <c r="P167" s="84">
        <f t="shared" si="27"/>
        <v>11500</v>
      </c>
      <c r="Q167" s="84">
        <v>9006</v>
      </c>
      <c r="R167">
        <v>78.31</v>
      </c>
      <c r="S167" s="84"/>
      <c r="T167" s="84">
        <v>13000</v>
      </c>
      <c r="V167" s="84">
        <v>13000</v>
      </c>
    </row>
    <row r="168" spans="1:23" x14ac:dyDescent="0.35">
      <c r="A168" s="2" t="s">
        <v>196</v>
      </c>
      <c r="B168" s="2" t="s">
        <v>19</v>
      </c>
      <c r="C168" s="26">
        <v>6000</v>
      </c>
      <c r="D168" s="17">
        <v>21000</v>
      </c>
      <c r="E168" s="33"/>
      <c r="F168" s="17">
        <v>19000</v>
      </c>
      <c r="G168" s="17">
        <v>0</v>
      </c>
      <c r="H168" s="17">
        <f t="shared" si="34"/>
        <v>19000</v>
      </c>
      <c r="I168" s="17">
        <v>21000</v>
      </c>
      <c r="N168" s="18">
        <v>21000</v>
      </c>
      <c r="P168" s="84">
        <f t="shared" si="27"/>
        <v>21000</v>
      </c>
      <c r="Q168" s="84">
        <v>9941</v>
      </c>
      <c r="R168">
        <v>47.33</v>
      </c>
      <c r="S168" s="84"/>
      <c r="T168" s="84">
        <v>25000</v>
      </c>
      <c r="U168" t="s">
        <v>758</v>
      </c>
      <c r="V168" s="84">
        <v>25000</v>
      </c>
    </row>
    <row r="169" spans="1:23" x14ac:dyDescent="0.35">
      <c r="A169" s="2" t="s">
        <v>197</v>
      </c>
      <c r="B169" s="2" t="s">
        <v>198</v>
      </c>
      <c r="C169" s="26">
        <v>10000</v>
      </c>
      <c r="D169" s="17">
        <v>0</v>
      </c>
      <c r="F169" s="17">
        <v>0</v>
      </c>
      <c r="G169" s="17">
        <v>0</v>
      </c>
      <c r="H169" s="17">
        <f t="shared" si="34"/>
        <v>0</v>
      </c>
      <c r="I169" s="17">
        <v>0</v>
      </c>
      <c r="N169" s="18">
        <v>0</v>
      </c>
      <c r="P169" s="84">
        <f t="shared" si="27"/>
        <v>0</v>
      </c>
      <c r="Q169" s="84"/>
      <c r="S169" s="84"/>
      <c r="T169" s="84">
        <v>0</v>
      </c>
      <c r="V169" s="84">
        <v>0</v>
      </c>
    </row>
    <row r="170" spans="1:23" x14ac:dyDescent="0.35">
      <c r="A170" s="2" t="s">
        <v>199</v>
      </c>
      <c r="B170" s="2" t="s">
        <v>200</v>
      </c>
      <c r="C170" s="26">
        <v>20000</v>
      </c>
      <c r="D170" s="17">
        <v>10000</v>
      </c>
      <c r="E170" s="33"/>
      <c r="F170" s="17">
        <v>10000</v>
      </c>
      <c r="G170" s="17">
        <v>0</v>
      </c>
      <c r="H170" s="17">
        <f t="shared" si="34"/>
        <v>10000</v>
      </c>
      <c r="I170" s="17">
        <v>10000</v>
      </c>
      <c r="N170" s="18">
        <v>10000</v>
      </c>
      <c r="P170" s="84">
        <f t="shared" si="27"/>
        <v>10000</v>
      </c>
      <c r="Q170" s="84">
        <v>6118</v>
      </c>
      <c r="R170">
        <v>31.18</v>
      </c>
      <c r="S170" s="84"/>
      <c r="T170" s="84">
        <v>15000</v>
      </c>
      <c r="U170" t="s">
        <v>738</v>
      </c>
      <c r="V170" s="84">
        <v>15000</v>
      </c>
    </row>
    <row r="171" spans="1:23" x14ac:dyDescent="0.35">
      <c r="A171" s="2" t="s">
        <v>201</v>
      </c>
      <c r="B171" s="2" t="s">
        <v>202</v>
      </c>
      <c r="C171" s="26">
        <v>18000</v>
      </c>
      <c r="D171" s="17">
        <v>20000</v>
      </c>
      <c r="E171" s="33"/>
      <c r="F171" s="17">
        <v>20000</v>
      </c>
      <c r="G171" s="17">
        <v>0</v>
      </c>
      <c r="H171" s="17">
        <f t="shared" si="34"/>
        <v>20000</v>
      </c>
      <c r="I171" s="17">
        <v>25000</v>
      </c>
      <c r="N171" s="29">
        <v>24000</v>
      </c>
      <c r="P171" s="84">
        <f t="shared" si="27"/>
        <v>24000</v>
      </c>
      <c r="Q171" s="84">
        <v>14786</v>
      </c>
      <c r="R171">
        <v>61.6</v>
      </c>
      <c r="S171" s="84"/>
      <c r="T171" s="84">
        <v>27000</v>
      </c>
      <c r="U171" t="s">
        <v>737</v>
      </c>
      <c r="V171" s="84">
        <v>27000</v>
      </c>
    </row>
    <row r="172" spans="1:23" x14ac:dyDescent="0.35">
      <c r="A172" s="2" t="s">
        <v>203</v>
      </c>
      <c r="B172" s="2" t="s">
        <v>204</v>
      </c>
      <c r="C172" s="26">
        <v>6000</v>
      </c>
      <c r="D172" s="17">
        <v>20665.2</v>
      </c>
      <c r="E172" s="33"/>
      <c r="F172" s="17">
        <v>20665.2</v>
      </c>
      <c r="G172" s="17">
        <v>0</v>
      </c>
      <c r="H172" s="17">
        <f t="shared" si="34"/>
        <v>20665.2</v>
      </c>
      <c r="I172" s="17">
        <v>26143</v>
      </c>
      <c r="N172" s="18">
        <v>26143</v>
      </c>
      <c r="P172" s="84">
        <f t="shared" si="27"/>
        <v>26143</v>
      </c>
      <c r="Q172" s="84">
        <v>17073</v>
      </c>
      <c r="R172">
        <v>65.3</v>
      </c>
      <c r="S172" s="84"/>
      <c r="T172" s="84">
        <v>26143</v>
      </c>
      <c r="V172" s="84">
        <v>26143</v>
      </c>
    </row>
    <row r="173" spans="1:23" x14ac:dyDescent="0.35">
      <c r="A173" s="2" t="s">
        <v>205</v>
      </c>
      <c r="B173" s="2" t="s">
        <v>206</v>
      </c>
      <c r="C173" s="26">
        <v>6000</v>
      </c>
      <c r="D173" s="17">
        <v>6000</v>
      </c>
      <c r="F173" s="17">
        <v>6000</v>
      </c>
      <c r="G173" s="17">
        <v>0</v>
      </c>
      <c r="H173" s="17">
        <f t="shared" si="34"/>
        <v>6000</v>
      </c>
      <c r="I173" s="17">
        <v>6000</v>
      </c>
      <c r="N173" s="18">
        <v>6000</v>
      </c>
      <c r="P173" s="84">
        <f t="shared" si="27"/>
        <v>6000</v>
      </c>
      <c r="Q173" s="84">
        <v>4304</v>
      </c>
      <c r="R173">
        <v>71.72</v>
      </c>
      <c r="S173" s="84"/>
      <c r="T173" s="84">
        <v>6000</v>
      </c>
      <c r="V173" s="84">
        <v>6000</v>
      </c>
    </row>
    <row r="174" spans="1:23" x14ac:dyDescent="0.35">
      <c r="A174" s="2" t="s">
        <v>207</v>
      </c>
      <c r="B174" s="2" t="s">
        <v>208</v>
      </c>
      <c r="C174" s="26">
        <v>3000</v>
      </c>
      <c r="D174" s="17">
        <v>6000</v>
      </c>
      <c r="F174" s="17">
        <v>6000</v>
      </c>
      <c r="G174" s="17">
        <v>0</v>
      </c>
      <c r="H174" s="17">
        <f t="shared" si="34"/>
        <v>6000</v>
      </c>
      <c r="I174" s="17">
        <v>4000</v>
      </c>
      <c r="N174" s="18">
        <v>4000</v>
      </c>
      <c r="P174" s="84">
        <f t="shared" si="27"/>
        <v>4000</v>
      </c>
      <c r="Q174" s="84">
        <v>692</v>
      </c>
      <c r="R174">
        <v>17.29</v>
      </c>
      <c r="S174" s="84"/>
      <c r="T174" s="84">
        <v>2000</v>
      </c>
      <c r="V174" s="84">
        <v>2000</v>
      </c>
    </row>
    <row r="175" spans="1:23" x14ac:dyDescent="0.35">
      <c r="A175" s="2" t="s">
        <v>209</v>
      </c>
      <c r="B175" s="2" t="s">
        <v>210</v>
      </c>
      <c r="C175" s="26">
        <v>18000</v>
      </c>
      <c r="D175" s="17">
        <v>3000</v>
      </c>
      <c r="F175" s="17">
        <v>3000</v>
      </c>
      <c r="G175" s="17">
        <v>0</v>
      </c>
      <c r="H175" s="17">
        <f t="shared" si="34"/>
        <v>3000</v>
      </c>
      <c r="I175" s="17">
        <v>3000</v>
      </c>
      <c r="N175" s="18">
        <v>3000</v>
      </c>
      <c r="P175" s="84">
        <f t="shared" si="27"/>
        <v>3000</v>
      </c>
      <c r="Q175" s="84">
        <v>456</v>
      </c>
      <c r="R175">
        <v>15.19</v>
      </c>
      <c r="S175" s="84"/>
      <c r="T175" s="84">
        <v>2000</v>
      </c>
      <c r="V175" s="84">
        <v>2000</v>
      </c>
    </row>
    <row r="176" spans="1:23" x14ac:dyDescent="0.35">
      <c r="A176" s="2" t="s">
        <v>211</v>
      </c>
      <c r="B176" s="2" t="s">
        <v>212</v>
      </c>
      <c r="C176" s="26">
        <v>3000</v>
      </c>
      <c r="D176" s="17">
        <v>30000</v>
      </c>
      <c r="F176" s="17">
        <v>28000</v>
      </c>
      <c r="G176" s="17">
        <v>0</v>
      </c>
      <c r="H176" s="17">
        <f t="shared" si="34"/>
        <v>28000</v>
      </c>
      <c r="I176" s="17">
        <v>21000</v>
      </c>
      <c r="N176" s="18">
        <v>21000</v>
      </c>
      <c r="P176" s="84">
        <f t="shared" si="27"/>
        <v>21000</v>
      </c>
      <c r="Q176" s="84">
        <v>18961</v>
      </c>
      <c r="R176">
        <v>120.09</v>
      </c>
      <c r="S176" s="84"/>
      <c r="T176" s="84">
        <v>45000</v>
      </c>
      <c r="U176" t="s">
        <v>739</v>
      </c>
      <c r="V176" s="84">
        <v>45000</v>
      </c>
    </row>
    <row r="177" spans="1:23" x14ac:dyDescent="0.35">
      <c r="A177" s="2" t="s">
        <v>213</v>
      </c>
      <c r="B177" s="2" t="s">
        <v>214</v>
      </c>
      <c r="C177" s="26">
        <v>4900</v>
      </c>
      <c r="D177" s="17">
        <v>3000</v>
      </c>
      <c r="F177" s="17">
        <v>3000</v>
      </c>
      <c r="G177" s="17">
        <v>0</v>
      </c>
      <c r="H177" s="17">
        <f t="shared" si="34"/>
        <v>3000</v>
      </c>
      <c r="I177" s="17">
        <v>3000</v>
      </c>
      <c r="N177" s="18">
        <v>3000</v>
      </c>
      <c r="P177" s="84">
        <f t="shared" si="27"/>
        <v>3000</v>
      </c>
      <c r="Q177" s="84">
        <v>2968</v>
      </c>
      <c r="R177">
        <v>98.93</v>
      </c>
      <c r="S177" s="84"/>
      <c r="T177" s="84">
        <v>3000</v>
      </c>
      <c r="V177" s="84">
        <v>3000</v>
      </c>
    </row>
    <row r="178" spans="1:23" x14ac:dyDescent="0.35">
      <c r="A178" s="2" t="s">
        <v>215</v>
      </c>
      <c r="B178" s="2" t="s">
        <v>216</v>
      </c>
      <c r="C178" s="26">
        <v>182900</v>
      </c>
      <c r="D178" s="17">
        <v>4900</v>
      </c>
      <c r="E178" s="33"/>
      <c r="F178" s="17">
        <v>4900</v>
      </c>
      <c r="G178" s="17">
        <v>0</v>
      </c>
      <c r="H178" s="17">
        <f t="shared" si="34"/>
        <v>4900</v>
      </c>
      <c r="I178" s="17">
        <v>18900</v>
      </c>
      <c r="N178" s="18">
        <v>18900</v>
      </c>
      <c r="P178" s="84">
        <f t="shared" si="27"/>
        <v>18900</v>
      </c>
      <c r="Q178" s="84"/>
      <c r="S178" s="84"/>
      <c r="T178" s="84">
        <v>18900</v>
      </c>
      <c r="U178" t="s">
        <v>740</v>
      </c>
      <c r="V178" s="84">
        <v>4900</v>
      </c>
    </row>
    <row r="179" spans="1:23" x14ac:dyDescent="0.35">
      <c r="B179" s="5" t="s">
        <v>48</v>
      </c>
      <c r="C179" s="26"/>
      <c r="D179" s="17">
        <f>SUM(D164:D178)</f>
        <v>204565.2</v>
      </c>
      <c r="F179" s="20">
        <f>SUM(F164:F178)</f>
        <v>201565.2</v>
      </c>
      <c r="G179" s="17">
        <v>0</v>
      </c>
      <c r="H179" s="20">
        <f t="shared" si="34"/>
        <v>201565.2</v>
      </c>
      <c r="I179" s="20">
        <f t="shared" ref="I179:N179" si="35">SUM(I164:I178)</f>
        <v>237543</v>
      </c>
      <c r="J179" s="20">
        <f t="shared" si="35"/>
        <v>0</v>
      </c>
      <c r="K179" s="20">
        <f t="shared" si="35"/>
        <v>0</v>
      </c>
      <c r="L179" s="20">
        <f t="shared" si="35"/>
        <v>0</v>
      </c>
      <c r="M179" s="20">
        <f t="shared" si="35"/>
        <v>0</v>
      </c>
      <c r="N179" s="23">
        <f t="shared" si="35"/>
        <v>237043</v>
      </c>
      <c r="O179">
        <v>0</v>
      </c>
      <c r="P179" s="88">
        <f t="shared" si="27"/>
        <v>237043</v>
      </c>
      <c r="Q179" s="84">
        <f>SUM(Q164:Q178)</f>
        <v>152114</v>
      </c>
      <c r="S179" s="88"/>
      <c r="T179" s="88">
        <f>SUM(T164:T178)</f>
        <v>283043</v>
      </c>
      <c r="V179" s="88">
        <f>SUM(V164:V178)</f>
        <v>269043</v>
      </c>
    </row>
    <row r="180" spans="1:23" x14ac:dyDescent="0.35">
      <c r="B180" s="5"/>
      <c r="C180" s="26">
        <v>16000</v>
      </c>
      <c r="P180" s="84"/>
      <c r="Q180" s="84"/>
      <c r="S180" s="84"/>
      <c r="V180" s="84"/>
    </row>
    <row r="181" spans="1:23" x14ac:dyDescent="0.35">
      <c r="A181" s="2" t="s">
        <v>217</v>
      </c>
      <c r="B181" s="2" t="s">
        <v>67</v>
      </c>
      <c r="C181" s="26">
        <v>40500</v>
      </c>
      <c r="D181" s="17">
        <v>16000</v>
      </c>
      <c r="F181" s="17">
        <v>16000</v>
      </c>
      <c r="G181" s="17">
        <v>0</v>
      </c>
      <c r="H181" s="17">
        <f>SUM(F181:G181)</f>
        <v>16000</v>
      </c>
      <c r="I181" s="17">
        <v>16000</v>
      </c>
      <c r="N181" s="18">
        <v>16000</v>
      </c>
      <c r="P181" s="84">
        <f t="shared" si="27"/>
        <v>16000</v>
      </c>
      <c r="Q181" s="84">
        <v>10128</v>
      </c>
      <c r="R181">
        <v>93.35</v>
      </c>
      <c r="S181" s="84"/>
      <c r="T181" s="84">
        <v>16000</v>
      </c>
      <c r="V181" s="84">
        <v>16000</v>
      </c>
    </row>
    <row r="182" spans="1:23" x14ac:dyDescent="0.35">
      <c r="A182" s="2" t="s">
        <v>218</v>
      </c>
      <c r="B182" s="2" t="s">
        <v>219</v>
      </c>
      <c r="C182" s="26">
        <v>67500</v>
      </c>
      <c r="D182" s="17">
        <v>47000</v>
      </c>
      <c r="E182" s="33" t="s">
        <v>527</v>
      </c>
      <c r="F182" s="17">
        <v>47000</v>
      </c>
      <c r="G182" s="17">
        <v>0</v>
      </c>
      <c r="H182" s="17">
        <f>SUM(F182:G182)</f>
        <v>47000</v>
      </c>
      <c r="I182" s="17">
        <v>55021</v>
      </c>
      <c r="N182" s="18">
        <v>55021</v>
      </c>
      <c r="P182" s="84">
        <f t="shared" si="27"/>
        <v>55021</v>
      </c>
      <c r="Q182" s="84">
        <v>44311</v>
      </c>
      <c r="R182">
        <v>88.27</v>
      </c>
      <c r="S182" s="84"/>
      <c r="T182" s="84">
        <v>53326</v>
      </c>
      <c r="V182" s="84">
        <v>53326</v>
      </c>
    </row>
    <row r="183" spans="1:23" x14ac:dyDescent="0.35">
      <c r="A183" s="2" t="s">
        <v>220</v>
      </c>
      <c r="B183" s="2" t="s">
        <v>221</v>
      </c>
      <c r="C183" s="26">
        <v>69862</v>
      </c>
      <c r="D183" s="17">
        <v>67500</v>
      </c>
      <c r="F183" s="17">
        <v>59126.92</v>
      </c>
      <c r="G183" s="17">
        <v>0</v>
      </c>
      <c r="H183" s="17">
        <f>SUM(F183:G183)</f>
        <v>59126.92</v>
      </c>
      <c r="I183" s="17">
        <v>59127</v>
      </c>
      <c r="N183" s="31">
        <v>75923</v>
      </c>
      <c r="P183" s="84">
        <f t="shared" si="27"/>
        <v>75923</v>
      </c>
      <c r="Q183" s="84">
        <v>75923</v>
      </c>
      <c r="R183">
        <v>100</v>
      </c>
      <c r="S183" s="84"/>
      <c r="T183" s="84">
        <v>75923</v>
      </c>
      <c r="V183" s="18">
        <f>85000-9077</f>
        <v>75923</v>
      </c>
      <c r="W183" s="106"/>
    </row>
    <row r="184" spans="1:23" x14ac:dyDescent="0.35">
      <c r="A184" s="2" t="s">
        <v>222</v>
      </c>
      <c r="B184" s="2" t="s">
        <v>223</v>
      </c>
      <c r="C184" s="26">
        <v>193862</v>
      </c>
      <c r="D184" s="17">
        <v>69862</v>
      </c>
      <c r="F184" s="17">
        <v>69862</v>
      </c>
      <c r="G184" s="17">
        <v>0</v>
      </c>
      <c r="H184" s="17">
        <f>SUM(F184:G184)</f>
        <v>69862</v>
      </c>
      <c r="I184" s="17">
        <v>69862</v>
      </c>
      <c r="N184" s="18">
        <v>69862</v>
      </c>
      <c r="P184" s="84">
        <f t="shared" si="27"/>
        <v>69862</v>
      </c>
      <c r="Q184" s="84">
        <v>69862</v>
      </c>
      <c r="R184">
        <v>100</v>
      </c>
      <c r="S184" s="84"/>
      <c r="T184" s="84">
        <v>69862</v>
      </c>
      <c r="V184" s="84">
        <v>69862</v>
      </c>
    </row>
    <row r="185" spans="1:23" x14ac:dyDescent="0.35">
      <c r="B185" s="5" t="s">
        <v>105</v>
      </c>
      <c r="C185" s="26"/>
      <c r="D185" s="17">
        <f>SUM(D181:D184)</f>
        <v>200362</v>
      </c>
      <c r="F185" s="20">
        <f>SUM(F181:F184)</f>
        <v>191988.91999999998</v>
      </c>
      <c r="G185" s="17">
        <v>0</v>
      </c>
      <c r="H185" s="20">
        <f>SUM(F185:G185)</f>
        <v>191988.91999999998</v>
      </c>
      <c r="I185" s="20">
        <f t="shared" ref="I185:N185" si="36">SUM(I181:I184)</f>
        <v>200010</v>
      </c>
      <c r="J185" s="20">
        <f t="shared" si="36"/>
        <v>0</v>
      </c>
      <c r="K185" s="20">
        <f t="shared" si="36"/>
        <v>0</v>
      </c>
      <c r="L185" s="20">
        <f t="shared" si="36"/>
        <v>0</v>
      </c>
      <c r="M185" s="20">
        <f t="shared" si="36"/>
        <v>0</v>
      </c>
      <c r="N185" s="23">
        <f t="shared" si="36"/>
        <v>216806</v>
      </c>
      <c r="O185">
        <v>0</v>
      </c>
      <c r="P185" s="88">
        <f t="shared" si="27"/>
        <v>216806</v>
      </c>
      <c r="Q185" s="84">
        <f>SUM(Q181:Q184)</f>
        <v>200224</v>
      </c>
      <c r="S185" s="88"/>
      <c r="T185" s="88">
        <f>SUM(T181:T184)</f>
        <v>215111</v>
      </c>
      <c r="V185" s="88">
        <f>SUM(V181:V184)</f>
        <v>215111</v>
      </c>
    </row>
    <row r="186" spans="1:23" x14ac:dyDescent="0.35">
      <c r="C186" s="26">
        <v>121700</v>
      </c>
      <c r="P186" s="84"/>
      <c r="Q186" s="84"/>
      <c r="S186" s="84"/>
      <c r="V186" s="84"/>
    </row>
    <row r="187" spans="1:23" x14ac:dyDescent="0.35">
      <c r="A187" s="2" t="s">
        <v>224</v>
      </c>
      <c r="B187" s="2" t="s">
        <v>225</v>
      </c>
      <c r="C187" s="26">
        <v>0</v>
      </c>
      <c r="D187" s="17">
        <v>0</v>
      </c>
      <c r="E187" s="33"/>
      <c r="F187" s="17">
        <v>0</v>
      </c>
      <c r="G187" s="17">
        <v>0</v>
      </c>
      <c r="H187" s="17">
        <f>SUM(F187:G187)</f>
        <v>0</v>
      </c>
      <c r="I187" s="17">
        <v>120000</v>
      </c>
      <c r="N187" s="18">
        <v>120000</v>
      </c>
      <c r="P187" s="84">
        <f t="shared" si="27"/>
        <v>120000</v>
      </c>
      <c r="Q187" s="84">
        <v>114209</v>
      </c>
      <c r="R187">
        <v>95.17</v>
      </c>
      <c r="S187" s="84"/>
      <c r="T187" s="84">
        <v>180000</v>
      </c>
      <c r="U187" t="s">
        <v>745</v>
      </c>
      <c r="V187" s="84">
        <v>180000</v>
      </c>
      <c r="W187" t="s">
        <v>816</v>
      </c>
    </row>
    <row r="188" spans="1:23" x14ac:dyDescent="0.35">
      <c r="A188" s="2" t="s">
        <v>226</v>
      </c>
      <c r="B188" s="2" t="s">
        <v>227</v>
      </c>
      <c r="C188" s="26">
        <v>285000</v>
      </c>
      <c r="D188" s="17">
        <v>47500</v>
      </c>
      <c r="E188" s="33"/>
      <c r="F188" s="17">
        <v>47500</v>
      </c>
      <c r="G188" s="17">
        <v>0</v>
      </c>
      <c r="H188" s="17">
        <f>SUM(F188:G188)</f>
        <v>47500</v>
      </c>
      <c r="I188" s="17">
        <v>40000</v>
      </c>
      <c r="N188" s="18">
        <v>40000</v>
      </c>
      <c r="P188" s="84">
        <f t="shared" si="27"/>
        <v>40000</v>
      </c>
      <c r="Q188" s="84">
        <v>41770</v>
      </c>
      <c r="R188">
        <v>104.42</v>
      </c>
      <c r="S188" s="84"/>
      <c r="T188" s="84">
        <v>123694</v>
      </c>
      <c r="U188" t="s">
        <v>736</v>
      </c>
      <c r="V188" s="84">
        <v>123694</v>
      </c>
    </row>
    <row r="189" spans="1:23" x14ac:dyDescent="0.35">
      <c r="B189" s="2" t="s">
        <v>228</v>
      </c>
      <c r="C189" s="26">
        <v>406700</v>
      </c>
      <c r="D189" s="17">
        <v>0</v>
      </c>
      <c r="E189" s="33"/>
      <c r="F189" s="17">
        <v>0</v>
      </c>
      <c r="G189" s="17">
        <v>0</v>
      </c>
      <c r="H189" s="17">
        <f>SUM(F189:G189)</f>
        <v>0</v>
      </c>
      <c r="I189" s="17">
        <v>150000</v>
      </c>
      <c r="N189" s="29">
        <v>75000</v>
      </c>
      <c r="P189" s="84">
        <f t="shared" si="27"/>
        <v>75000</v>
      </c>
      <c r="Q189" s="84">
        <v>0</v>
      </c>
      <c r="S189" s="84"/>
      <c r="T189" s="84">
        <v>75000</v>
      </c>
      <c r="U189" t="s">
        <v>735</v>
      </c>
      <c r="V189" s="84">
        <v>50000</v>
      </c>
      <c r="W189" t="s">
        <v>771</v>
      </c>
    </row>
    <row r="190" spans="1:23" x14ac:dyDescent="0.35">
      <c r="B190" s="5" t="s">
        <v>77</v>
      </c>
      <c r="C190" s="26"/>
      <c r="D190" s="17">
        <f>SUM(D187:D189)</f>
        <v>47500</v>
      </c>
      <c r="F190" s="17">
        <f>SUM(F187:F189)</f>
        <v>47500</v>
      </c>
      <c r="G190" s="17">
        <v>0</v>
      </c>
      <c r="H190" s="17">
        <f>SUM(F190:G190)</f>
        <v>47500</v>
      </c>
      <c r="I190" s="20">
        <f t="shared" ref="I190:N190" si="37">SUM(I187:I189)</f>
        <v>310000</v>
      </c>
      <c r="J190" s="20">
        <f t="shared" si="37"/>
        <v>0</v>
      </c>
      <c r="K190" s="20">
        <f t="shared" si="37"/>
        <v>0</v>
      </c>
      <c r="L190" s="20">
        <f t="shared" si="37"/>
        <v>0</v>
      </c>
      <c r="M190" s="20">
        <f t="shared" si="37"/>
        <v>0</v>
      </c>
      <c r="N190" s="23">
        <f t="shared" si="37"/>
        <v>235000</v>
      </c>
      <c r="O190">
        <v>0</v>
      </c>
      <c r="P190" s="88">
        <f t="shared" si="27"/>
        <v>235000</v>
      </c>
      <c r="Q190" s="84">
        <f>SUM(Q187:Q189)</f>
        <v>155979</v>
      </c>
      <c r="S190" s="88"/>
      <c r="T190" s="88">
        <f>SUM(T187:T189)</f>
        <v>378694</v>
      </c>
      <c r="V190" s="88">
        <f>SUM(V187:V189)</f>
        <v>353694</v>
      </c>
    </row>
    <row r="191" spans="1:23" x14ac:dyDescent="0.35">
      <c r="C191" s="26">
        <v>2669812</v>
      </c>
      <c r="P191" s="84"/>
      <c r="Q191" s="84"/>
      <c r="S191" s="84"/>
      <c r="V191" s="84"/>
    </row>
    <row r="192" spans="1:23" x14ac:dyDescent="0.35">
      <c r="B192" s="9" t="s">
        <v>229</v>
      </c>
      <c r="C192" s="26"/>
      <c r="D192" s="17">
        <f>D190+D185+D179+D162</f>
        <v>2613483.91</v>
      </c>
      <c r="E192" s="17">
        <f>E190+E185+E179+E162</f>
        <v>0</v>
      </c>
      <c r="F192" s="20">
        <f>F190+F185+F179+F162</f>
        <v>2429313.83</v>
      </c>
      <c r="G192" s="17">
        <f>G190+G185+G179+G162</f>
        <v>70000</v>
      </c>
      <c r="H192" s="20">
        <f>SUM(F192:G192)</f>
        <v>2499313.83</v>
      </c>
      <c r="I192" s="20">
        <f t="shared" ref="I192:N192" si="38">I190+I185+I179+I162</f>
        <v>3077386.5535752252</v>
      </c>
      <c r="J192" s="20">
        <f t="shared" si="38"/>
        <v>0</v>
      </c>
      <c r="K192" s="20">
        <f t="shared" si="38"/>
        <v>0</v>
      </c>
      <c r="L192" s="20">
        <f t="shared" si="38"/>
        <v>0</v>
      </c>
      <c r="M192" s="20">
        <f t="shared" si="38"/>
        <v>0</v>
      </c>
      <c r="N192" s="23">
        <f t="shared" si="38"/>
        <v>3053876</v>
      </c>
      <c r="O192" s="20">
        <f>SUM(O190+O185+O179+O162)</f>
        <v>116665</v>
      </c>
      <c r="P192" s="88">
        <f t="shared" si="27"/>
        <v>3170541</v>
      </c>
      <c r="Q192" s="84">
        <f>SUM(Q190+Q185+Q179+Q162)</f>
        <v>2159212</v>
      </c>
      <c r="S192" s="88"/>
      <c r="T192" s="88">
        <f>SUM(T190+T185+T179+T162)</f>
        <v>3330309</v>
      </c>
      <c r="V192" s="88">
        <f>SUM(V190+V185+V179+V162)</f>
        <v>3291709</v>
      </c>
    </row>
    <row r="193" spans="1:22" x14ac:dyDescent="0.35">
      <c r="C193" s="26"/>
      <c r="P193" s="84"/>
      <c r="Q193" s="84"/>
      <c r="S193" s="84"/>
      <c r="V193" s="84"/>
    </row>
    <row r="194" spans="1:22" x14ac:dyDescent="0.35">
      <c r="A194" s="3" t="s">
        <v>230</v>
      </c>
      <c r="C194" s="26"/>
      <c r="E194" s="19" t="s">
        <v>508</v>
      </c>
      <c r="P194" s="84"/>
      <c r="Q194" s="84"/>
      <c r="S194" s="84"/>
      <c r="V194" s="84"/>
    </row>
    <row r="195" spans="1:22" x14ac:dyDescent="0.35">
      <c r="A195" s="2" t="s">
        <v>231</v>
      </c>
      <c r="B195" s="2" t="s">
        <v>83</v>
      </c>
      <c r="C195" s="26">
        <v>978000</v>
      </c>
      <c r="D195" s="17">
        <v>1089524</v>
      </c>
      <c r="F195" s="17">
        <v>1097718</v>
      </c>
      <c r="G195" s="17">
        <v>0</v>
      </c>
      <c r="H195" s="17">
        <f>SUM(F195:G195)</f>
        <v>1097718</v>
      </c>
      <c r="I195" s="17">
        <v>1304335</v>
      </c>
      <c r="N195" s="29">
        <v>1237772</v>
      </c>
      <c r="O195">
        <f>42000+29297</f>
        <v>71297</v>
      </c>
      <c r="P195" s="84">
        <f t="shared" si="27"/>
        <v>1309069</v>
      </c>
      <c r="Q195" s="84">
        <v>895224</v>
      </c>
      <c r="R195">
        <v>68.38</v>
      </c>
      <c r="S195" s="84"/>
      <c r="T195" s="84">
        <v>1406863</v>
      </c>
      <c r="V195" s="84">
        <v>1406863</v>
      </c>
    </row>
    <row r="196" spans="1:22" x14ac:dyDescent="0.35">
      <c r="A196" s="2" t="s">
        <v>232</v>
      </c>
      <c r="B196" s="2" t="s">
        <v>173</v>
      </c>
      <c r="C196" s="26">
        <v>40000</v>
      </c>
      <c r="D196" s="17">
        <v>42228</v>
      </c>
      <c r="F196" s="17">
        <v>40800</v>
      </c>
      <c r="G196" s="17">
        <v>0</v>
      </c>
      <c r="H196" s="17">
        <f t="shared" ref="H196:H202" si="39">SUM(F196:G196)</f>
        <v>40800</v>
      </c>
      <c r="I196" s="17">
        <v>40800</v>
      </c>
      <c r="N196" s="18">
        <v>40800</v>
      </c>
      <c r="O196">
        <f>9000+1837</f>
        <v>10837</v>
      </c>
      <c r="P196" s="84">
        <f t="shared" si="27"/>
        <v>51637</v>
      </c>
      <c r="Q196" s="84">
        <v>67845</v>
      </c>
      <c r="R196">
        <v>131.38</v>
      </c>
      <c r="S196" s="84"/>
      <c r="T196" s="84">
        <v>63036</v>
      </c>
      <c r="U196" t="s">
        <v>731</v>
      </c>
      <c r="V196" s="84">
        <v>63036</v>
      </c>
    </row>
    <row r="197" spans="1:22" x14ac:dyDescent="0.35">
      <c r="A197" s="2" t="s">
        <v>233</v>
      </c>
      <c r="B197" s="2" t="s">
        <v>234</v>
      </c>
      <c r="C197" s="26">
        <v>20000</v>
      </c>
      <c r="D197" s="17">
        <v>25000</v>
      </c>
      <c r="F197" s="17">
        <v>25000</v>
      </c>
      <c r="G197" s="17">
        <v>0</v>
      </c>
      <c r="H197" s="17">
        <f t="shared" si="39"/>
        <v>25000</v>
      </c>
      <c r="I197" s="17">
        <v>26643.749999999996</v>
      </c>
      <c r="N197" s="18">
        <v>26644</v>
      </c>
      <c r="P197" s="84">
        <f t="shared" si="27"/>
        <v>26644</v>
      </c>
      <c r="Q197" s="84">
        <v>33756</v>
      </c>
      <c r="R197">
        <v>126.69</v>
      </c>
      <c r="S197" s="84"/>
      <c r="T197" s="84">
        <v>105060</v>
      </c>
      <c r="U197" t="s">
        <v>732</v>
      </c>
      <c r="V197" s="84">
        <v>105060</v>
      </c>
    </row>
    <row r="198" spans="1:22" x14ac:dyDescent="0.35">
      <c r="A198" s="2" t="s">
        <v>235</v>
      </c>
      <c r="B198" s="2" t="s">
        <v>4</v>
      </c>
      <c r="C198" s="26">
        <v>81500</v>
      </c>
      <c r="D198" s="17">
        <v>88491</v>
      </c>
      <c r="F198" s="17">
        <v>89009</v>
      </c>
      <c r="G198" s="17">
        <v>0</v>
      </c>
      <c r="H198" s="17">
        <f t="shared" si="39"/>
        <v>89009</v>
      </c>
      <c r="I198" s="17">
        <v>104941.09891352247</v>
      </c>
      <c r="N198" s="18">
        <v>99849</v>
      </c>
      <c r="O198">
        <f>3901+2382</f>
        <v>6283</v>
      </c>
      <c r="P198" s="84">
        <f t="shared" si="27"/>
        <v>106132</v>
      </c>
      <c r="Q198" s="84">
        <v>74756</v>
      </c>
      <c r="R198">
        <v>70.430000000000007</v>
      </c>
      <c r="S198" s="84"/>
      <c r="T198" s="84">
        <v>120484</v>
      </c>
      <c r="V198" s="84">
        <v>120484</v>
      </c>
    </row>
    <row r="199" spans="1:22" x14ac:dyDescent="0.35">
      <c r="A199" s="2" t="s">
        <v>236</v>
      </c>
      <c r="B199" s="2" t="s">
        <v>6</v>
      </c>
      <c r="C199" s="26">
        <v>50000</v>
      </c>
      <c r="D199" s="17">
        <v>55726</v>
      </c>
      <c r="F199" s="17">
        <v>56136</v>
      </c>
      <c r="G199" s="17">
        <v>0</v>
      </c>
      <c r="H199" s="17">
        <f t="shared" si="39"/>
        <v>56136</v>
      </c>
      <c r="I199" s="17">
        <v>65027.976038249988</v>
      </c>
      <c r="N199" s="18">
        <v>61700</v>
      </c>
      <c r="O199">
        <f>2100+1465</f>
        <v>3565</v>
      </c>
      <c r="P199" s="84">
        <f t="shared" si="27"/>
        <v>65265</v>
      </c>
      <c r="Q199" s="84">
        <v>46419</v>
      </c>
      <c r="R199">
        <v>71.12</v>
      </c>
      <c r="S199" s="84"/>
      <c r="T199" s="84">
        <v>74068</v>
      </c>
      <c r="V199" s="84">
        <v>74068</v>
      </c>
    </row>
    <row r="200" spans="1:22" x14ac:dyDescent="0.35">
      <c r="A200" s="2" t="s">
        <v>237</v>
      </c>
      <c r="B200" s="2" t="s">
        <v>8</v>
      </c>
      <c r="C200" s="26">
        <v>114000</v>
      </c>
      <c r="D200" s="17">
        <v>134857</v>
      </c>
      <c r="F200" s="17">
        <v>135849</v>
      </c>
      <c r="G200" s="17">
        <v>0</v>
      </c>
      <c r="H200" s="17">
        <f t="shared" si="39"/>
        <v>135849</v>
      </c>
      <c r="I200" s="17">
        <v>157367.70201256496</v>
      </c>
      <c r="N200" s="18">
        <v>158325</v>
      </c>
      <c r="O200">
        <f>5414+3778</f>
        <v>9192</v>
      </c>
      <c r="P200" s="84">
        <f t="shared" si="27"/>
        <v>167517</v>
      </c>
      <c r="Q200" s="84">
        <v>119669</v>
      </c>
      <c r="R200">
        <v>71.430000000000007</v>
      </c>
      <c r="S200" s="84"/>
      <c r="T200" s="84">
        <v>202057</v>
      </c>
      <c r="V200" s="84">
        <v>202057</v>
      </c>
    </row>
    <row r="201" spans="1:22" x14ac:dyDescent="0.35">
      <c r="A201" s="2" t="s">
        <v>238</v>
      </c>
      <c r="B201" s="2" t="s">
        <v>239</v>
      </c>
      <c r="C201" s="26">
        <v>3000</v>
      </c>
      <c r="D201" s="17">
        <v>3000</v>
      </c>
      <c r="F201" s="17">
        <v>3000</v>
      </c>
      <c r="G201" s="17">
        <v>0</v>
      </c>
      <c r="H201" s="17">
        <f t="shared" si="39"/>
        <v>3000</v>
      </c>
      <c r="I201" s="17">
        <v>3000</v>
      </c>
      <c r="N201" s="18">
        <v>3000</v>
      </c>
      <c r="P201" s="84">
        <f t="shared" ref="P201:P266" si="40">N201+O201</f>
        <v>3000</v>
      </c>
      <c r="Q201" s="84">
        <v>1625</v>
      </c>
      <c r="R201">
        <v>54.16</v>
      </c>
      <c r="S201" s="84"/>
      <c r="T201" s="84">
        <v>3000</v>
      </c>
      <c r="V201" s="84">
        <v>3000</v>
      </c>
    </row>
    <row r="202" spans="1:22" x14ac:dyDescent="0.35">
      <c r="A202" s="2" t="s">
        <v>240</v>
      </c>
      <c r="B202" s="2" t="s">
        <v>241</v>
      </c>
      <c r="C202" s="26">
        <v>136500</v>
      </c>
      <c r="D202" s="17">
        <v>174169</v>
      </c>
      <c r="F202" s="17">
        <v>151978</v>
      </c>
      <c r="G202" s="17">
        <v>0</v>
      </c>
      <c r="H202" s="17">
        <f t="shared" si="39"/>
        <v>151978</v>
      </c>
      <c r="I202" s="17">
        <v>199402.5</v>
      </c>
      <c r="N202" s="18">
        <v>185807</v>
      </c>
      <c r="P202" s="84">
        <f t="shared" si="40"/>
        <v>185807</v>
      </c>
      <c r="Q202" s="84">
        <v>89646</v>
      </c>
      <c r="R202">
        <v>48.24</v>
      </c>
      <c r="S202" s="84"/>
      <c r="T202" s="84">
        <v>180769</v>
      </c>
      <c r="V202" s="84">
        <v>180769</v>
      </c>
    </row>
    <row r="203" spans="1:22" x14ac:dyDescent="0.35">
      <c r="A203" s="2" t="s">
        <v>242</v>
      </c>
      <c r="B203" s="2" t="s">
        <v>185</v>
      </c>
      <c r="C203" s="26">
        <v>33000</v>
      </c>
      <c r="D203" s="17">
        <f>C204*1.1</f>
        <v>1601600.0000000002</v>
      </c>
      <c r="F203" s="17">
        <f>E203*1.1</f>
        <v>0</v>
      </c>
      <c r="G203" s="17">
        <v>36300</v>
      </c>
      <c r="H203" s="17">
        <f>SUM(F203:G203)</f>
        <v>36300</v>
      </c>
      <c r="I203" s="17">
        <v>37000</v>
      </c>
      <c r="N203" s="18">
        <v>32000</v>
      </c>
      <c r="P203" s="84">
        <f t="shared" si="40"/>
        <v>32000</v>
      </c>
      <c r="Q203" s="84">
        <v>34187</v>
      </c>
      <c r="R203">
        <v>106.83</v>
      </c>
      <c r="S203" s="84"/>
      <c r="T203" s="84">
        <v>35000</v>
      </c>
      <c r="V203" s="84">
        <v>35000</v>
      </c>
    </row>
    <row r="204" spans="1:22" x14ac:dyDescent="0.35">
      <c r="B204" s="4" t="s">
        <v>13</v>
      </c>
      <c r="C204" s="26">
        <v>1456000</v>
      </c>
      <c r="D204" s="17">
        <f>SUM(D195:D203)</f>
        <v>3214595</v>
      </c>
      <c r="F204" s="20">
        <f>SUM(F195:F203)</f>
        <v>1599490</v>
      </c>
      <c r="G204" s="17">
        <f>SUM(G195:G203)</f>
        <v>36300</v>
      </c>
      <c r="H204" s="20">
        <f>SUM(F204:G204)</f>
        <v>1635790</v>
      </c>
      <c r="I204" s="20">
        <f t="shared" ref="I204:N204" si="41">SUM(I195:I203)</f>
        <v>1938518.0269643373</v>
      </c>
      <c r="J204" s="20">
        <f t="shared" si="41"/>
        <v>0</v>
      </c>
      <c r="K204" s="20">
        <f t="shared" si="41"/>
        <v>0</v>
      </c>
      <c r="L204" s="20">
        <f t="shared" si="41"/>
        <v>0</v>
      </c>
      <c r="M204" s="20">
        <f t="shared" si="41"/>
        <v>0</v>
      </c>
      <c r="N204" s="23">
        <f t="shared" si="41"/>
        <v>1845897</v>
      </c>
      <c r="O204" s="20">
        <f>SUM(O195:O203)</f>
        <v>101174</v>
      </c>
      <c r="P204" s="88">
        <f t="shared" si="40"/>
        <v>1947071</v>
      </c>
      <c r="Q204" s="84">
        <f>SUM(Q195:Q203)</f>
        <v>1363127</v>
      </c>
      <c r="S204" s="88"/>
      <c r="T204" s="88">
        <f>SUM(T195:T203)</f>
        <v>2190337</v>
      </c>
      <c r="V204" s="88">
        <f>SUM(V195:V203)</f>
        <v>2190337</v>
      </c>
    </row>
    <row r="205" spans="1:22" x14ac:dyDescent="0.35">
      <c r="C205" s="26"/>
      <c r="P205" s="84"/>
      <c r="Q205" s="84"/>
      <c r="S205" s="84"/>
      <c r="V205" s="84"/>
    </row>
    <row r="206" spans="1:22" x14ac:dyDescent="0.35">
      <c r="C206" s="26"/>
      <c r="P206" s="84"/>
      <c r="Q206" s="84"/>
      <c r="S206" s="84"/>
      <c r="V206" s="84"/>
    </row>
    <row r="207" spans="1:22" x14ac:dyDescent="0.35">
      <c r="A207" s="2" t="s">
        <v>243</v>
      </c>
      <c r="B207" s="2" t="s">
        <v>189</v>
      </c>
      <c r="C207" s="26">
        <v>20000</v>
      </c>
      <c r="D207" s="17">
        <v>20000</v>
      </c>
      <c r="F207" s="17">
        <v>20000</v>
      </c>
      <c r="G207" s="17">
        <v>0</v>
      </c>
      <c r="H207" s="17">
        <f>SUM(F207:G207)</f>
        <v>20000</v>
      </c>
      <c r="I207" s="17">
        <v>20000</v>
      </c>
      <c r="N207" s="18">
        <v>20000</v>
      </c>
      <c r="P207" s="84">
        <f t="shared" si="40"/>
        <v>20000</v>
      </c>
      <c r="Q207" s="84">
        <v>16662</v>
      </c>
      <c r="S207" s="84"/>
      <c r="T207" s="84">
        <v>20000</v>
      </c>
      <c r="V207" s="84">
        <v>20000</v>
      </c>
    </row>
    <row r="208" spans="1:22" x14ac:dyDescent="0.35">
      <c r="A208" s="2" t="s">
        <v>244</v>
      </c>
      <c r="B208" s="2" t="s">
        <v>245</v>
      </c>
      <c r="C208" s="26">
        <v>2000</v>
      </c>
      <c r="D208" s="17">
        <v>2000</v>
      </c>
      <c r="F208" s="17">
        <v>2000</v>
      </c>
      <c r="G208" s="17">
        <v>0</v>
      </c>
      <c r="H208" s="17">
        <f t="shared" ref="H208:H227" si="42">SUM(F208:G208)</f>
        <v>2000</v>
      </c>
      <c r="I208" s="17">
        <v>2000</v>
      </c>
      <c r="N208" s="18">
        <v>2000</v>
      </c>
      <c r="P208" s="84">
        <f t="shared" si="40"/>
        <v>2000</v>
      </c>
      <c r="Q208" s="84">
        <v>1362</v>
      </c>
      <c r="R208">
        <v>68.099999999999994</v>
      </c>
      <c r="S208" s="84"/>
      <c r="T208" s="84">
        <v>2000</v>
      </c>
      <c r="V208" s="84">
        <v>2000</v>
      </c>
    </row>
    <row r="209" spans="1:23" x14ac:dyDescent="0.35">
      <c r="A209" s="2" t="s">
        <v>246</v>
      </c>
      <c r="B209" s="2" t="s">
        <v>247</v>
      </c>
      <c r="C209" s="26">
        <v>20000</v>
      </c>
      <c r="D209" s="17">
        <v>20000</v>
      </c>
      <c r="F209" s="17">
        <v>20000</v>
      </c>
      <c r="G209" s="17">
        <v>0</v>
      </c>
      <c r="H209" s="17">
        <f t="shared" si="42"/>
        <v>20000</v>
      </c>
      <c r="I209" s="17">
        <v>20000</v>
      </c>
      <c r="N209" s="18">
        <v>20000</v>
      </c>
      <c r="P209" s="84">
        <f t="shared" si="40"/>
        <v>20000</v>
      </c>
      <c r="Q209" s="84">
        <v>14430</v>
      </c>
      <c r="R209">
        <v>72.14</v>
      </c>
      <c r="S209" s="84"/>
      <c r="T209" s="84">
        <v>25000</v>
      </c>
      <c r="U209" t="s">
        <v>727</v>
      </c>
      <c r="V209" s="84">
        <v>25000</v>
      </c>
    </row>
    <row r="210" spans="1:23" x14ac:dyDescent="0.35">
      <c r="A210" s="2" t="s">
        <v>248</v>
      </c>
      <c r="B210" s="2" t="s">
        <v>17</v>
      </c>
      <c r="C210" s="26">
        <v>5000</v>
      </c>
      <c r="D210" s="17">
        <v>5000</v>
      </c>
      <c r="F210" s="17">
        <v>5000</v>
      </c>
      <c r="G210" s="17">
        <v>0</v>
      </c>
      <c r="H210" s="17">
        <f t="shared" si="42"/>
        <v>5000</v>
      </c>
      <c r="I210" s="17">
        <v>5000</v>
      </c>
      <c r="N210" s="18">
        <v>5000</v>
      </c>
      <c r="P210" s="84">
        <f t="shared" si="40"/>
        <v>5000</v>
      </c>
      <c r="Q210" s="84">
        <v>4092</v>
      </c>
      <c r="R210">
        <v>81.84</v>
      </c>
      <c r="S210" s="84"/>
      <c r="T210" s="84">
        <v>5000</v>
      </c>
      <c r="V210" s="84">
        <v>5000</v>
      </c>
    </row>
    <row r="211" spans="1:23" x14ac:dyDescent="0.35">
      <c r="A211" s="2" t="s">
        <v>249</v>
      </c>
      <c r="B211" s="2" t="s">
        <v>250</v>
      </c>
      <c r="C211" s="26">
        <v>2500</v>
      </c>
      <c r="D211" s="17">
        <v>2500</v>
      </c>
      <c r="F211" s="17">
        <v>2500</v>
      </c>
      <c r="G211" s="17">
        <v>0</v>
      </c>
      <c r="H211" s="17">
        <f t="shared" si="42"/>
        <v>2500</v>
      </c>
      <c r="I211" s="17">
        <v>2500</v>
      </c>
      <c r="N211" s="18">
        <v>2500</v>
      </c>
      <c r="P211" s="84">
        <f t="shared" si="40"/>
        <v>2500</v>
      </c>
      <c r="Q211" s="84">
        <v>1315</v>
      </c>
      <c r="R211">
        <v>52.6</v>
      </c>
      <c r="S211" s="84"/>
      <c r="T211" s="84">
        <v>2500</v>
      </c>
      <c r="V211" s="84">
        <v>2500</v>
      </c>
    </row>
    <row r="212" spans="1:23" x14ac:dyDescent="0.35">
      <c r="A212" s="2" t="s">
        <v>251</v>
      </c>
      <c r="B212" s="2" t="s">
        <v>252</v>
      </c>
      <c r="C212" s="26">
        <v>4500</v>
      </c>
      <c r="D212" s="17">
        <v>8000</v>
      </c>
      <c r="F212" s="17">
        <v>8000</v>
      </c>
      <c r="G212" s="17">
        <v>0</v>
      </c>
      <c r="H212" s="17">
        <f t="shared" si="42"/>
        <v>8000</v>
      </c>
      <c r="I212" s="17">
        <v>8000</v>
      </c>
      <c r="N212" s="18">
        <v>8000</v>
      </c>
      <c r="P212" s="84">
        <f t="shared" si="40"/>
        <v>8000</v>
      </c>
      <c r="Q212" s="84">
        <v>5557</v>
      </c>
      <c r="R212">
        <v>69.459999999999994</v>
      </c>
      <c r="S212" s="84"/>
      <c r="T212" s="84">
        <v>8000</v>
      </c>
      <c r="V212" s="84">
        <v>8000</v>
      </c>
    </row>
    <row r="213" spans="1:23" x14ac:dyDescent="0.35">
      <c r="A213" s="2" t="s">
        <v>253</v>
      </c>
      <c r="B213" s="2" t="s">
        <v>19</v>
      </c>
      <c r="C213" s="26">
        <v>22000</v>
      </c>
      <c r="D213" s="17">
        <v>22000</v>
      </c>
      <c r="F213" s="17">
        <v>22000</v>
      </c>
      <c r="G213" s="17">
        <v>0</v>
      </c>
      <c r="H213" s="17">
        <f t="shared" si="42"/>
        <v>22000</v>
      </c>
      <c r="I213" s="17">
        <v>40000</v>
      </c>
      <c r="N213" s="29">
        <v>34000</v>
      </c>
      <c r="P213" s="84">
        <f t="shared" si="40"/>
        <v>34000</v>
      </c>
      <c r="Q213" s="84">
        <v>31331</v>
      </c>
      <c r="R213">
        <v>92.15</v>
      </c>
      <c r="S213" s="84"/>
      <c r="T213" s="84">
        <v>22000</v>
      </c>
      <c r="V213" s="84">
        <v>22000</v>
      </c>
    </row>
    <row r="214" spans="1:23" x14ac:dyDescent="0.35">
      <c r="A214" s="2" t="s">
        <v>254</v>
      </c>
      <c r="B214" s="2" t="s">
        <v>255</v>
      </c>
      <c r="C214" s="26"/>
      <c r="I214" s="17">
        <v>25000</v>
      </c>
      <c r="N214" s="18">
        <v>25000</v>
      </c>
      <c r="P214" s="84">
        <f t="shared" si="40"/>
        <v>25000</v>
      </c>
      <c r="Q214" s="84">
        <v>24110</v>
      </c>
      <c r="S214" s="84"/>
      <c r="T214" s="84">
        <v>25000</v>
      </c>
      <c r="V214" s="84">
        <v>25000</v>
      </c>
    </row>
    <row r="215" spans="1:23" x14ac:dyDescent="0.35">
      <c r="A215" s="2" t="s">
        <v>256</v>
      </c>
      <c r="B215" s="2" t="s">
        <v>97</v>
      </c>
      <c r="C215" s="26">
        <v>5000</v>
      </c>
      <c r="D215" s="17">
        <v>8000</v>
      </c>
      <c r="F215" s="17">
        <v>8000</v>
      </c>
      <c r="G215" s="17">
        <v>0</v>
      </c>
      <c r="H215" s="17">
        <f t="shared" si="42"/>
        <v>8000</v>
      </c>
      <c r="I215" s="17">
        <v>15000</v>
      </c>
      <c r="N215" s="18">
        <v>15000</v>
      </c>
      <c r="P215" s="84">
        <f t="shared" si="40"/>
        <v>15000</v>
      </c>
      <c r="Q215" s="84">
        <v>11931</v>
      </c>
      <c r="R215">
        <v>79.540000000000006</v>
      </c>
      <c r="S215" s="84"/>
      <c r="T215" s="84">
        <v>15000</v>
      </c>
      <c r="V215" s="84">
        <v>15000</v>
      </c>
    </row>
    <row r="216" spans="1:23" x14ac:dyDescent="0.35">
      <c r="A216" s="2" t="s">
        <v>257</v>
      </c>
      <c r="B216" s="2" t="s">
        <v>99</v>
      </c>
      <c r="C216" s="26">
        <v>8500</v>
      </c>
      <c r="D216" s="17">
        <v>8500</v>
      </c>
      <c r="F216" s="17">
        <v>8500</v>
      </c>
      <c r="G216" s="17">
        <v>0</v>
      </c>
      <c r="H216" s="17">
        <f t="shared" si="42"/>
        <v>8500</v>
      </c>
      <c r="I216" s="17">
        <v>8500</v>
      </c>
      <c r="N216" s="18">
        <v>8500</v>
      </c>
      <c r="P216" s="84">
        <f t="shared" si="40"/>
        <v>8500</v>
      </c>
      <c r="Q216" s="84">
        <v>5849</v>
      </c>
      <c r="R216">
        <v>68.81</v>
      </c>
      <c r="S216" s="84"/>
      <c r="T216" s="84">
        <v>8500</v>
      </c>
      <c r="V216" s="84">
        <v>8500</v>
      </c>
    </row>
    <row r="217" spans="1:23" x14ac:dyDescent="0.35">
      <c r="A217" s="2" t="s">
        <v>258</v>
      </c>
      <c r="B217" s="2" t="s">
        <v>259</v>
      </c>
      <c r="C217" s="26">
        <v>22000</v>
      </c>
      <c r="D217" s="17">
        <v>22000</v>
      </c>
      <c r="F217" s="17">
        <v>22000</v>
      </c>
      <c r="G217" s="17">
        <v>0</v>
      </c>
      <c r="H217" s="17">
        <f t="shared" si="42"/>
        <v>22000</v>
      </c>
      <c r="I217" s="17">
        <v>22000</v>
      </c>
      <c r="N217" s="18">
        <v>22000</v>
      </c>
      <c r="P217" s="84">
        <f t="shared" si="40"/>
        <v>22000</v>
      </c>
      <c r="Q217" s="84">
        <v>17792</v>
      </c>
      <c r="R217">
        <v>80.87</v>
      </c>
      <c r="S217" s="84"/>
      <c r="T217" s="84">
        <v>27000</v>
      </c>
      <c r="U217" t="s">
        <v>726</v>
      </c>
      <c r="V217" s="84">
        <v>27000</v>
      </c>
    </row>
    <row r="218" spans="1:23" x14ac:dyDescent="0.35">
      <c r="A218" s="2" t="s">
        <v>260</v>
      </c>
      <c r="B218" s="2" t="s">
        <v>261</v>
      </c>
      <c r="C218" s="26">
        <v>20000</v>
      </c>
      <c r="D218" s="17">
        <v>20000</v>
      </c>
      <c r="F218" s="17">
        <v>20000</v>
      </c>
      <c r="G218" s="17">
        <v>0</v>
      </c>
      <c r="H218" s="17">
        <f t="shared" si="42"/>
        <v>20000</v>
      </c>
      <c r="I218" s="17">
        <v>20000</v>
      </c>
      <c r="N218" s="18">
        <v>20000</v>
      </c>
      <c r="P218" s="84">
        <f t="shared" si="40"/>
        <v>20000</v>
      </c>
      <c r="Q218" s="84">
        <v>6269</v>
      </c>
      <c r="R218">
        <v>31.34</v>
      </c>
      <c r="S218" s="84"/>
      <c r="T218" s="84">
        <v>20000</v>
      </c>
      <c r="V218" s="84">
        <v>20000</v>
      </c>
    </row>
    <row r="219" spans="1:23" x14ac:dyDescent="0.35">
      <c r="A219" s="2" t="s">
        <v>262</v>
      </c>
      <c r="B219" s="2" t="s">
        <v>210</v>
      </c>
      <c r="C219" s="26">
        <v>10000</v>
      </c>
      <c r="D219" s="17">
        <v>10000</v>
      </c>
      <c r="F219" s="17">
        <v>10000</v>
      </c>
      <c r="G219" s="17">
        <v>0</v>
      </c>
      <c r="H219" s="17">
        <f t="shared" si="42"/>
        <v>10000</v>
      </c>
      <c r="I219" s="17">
        <v>10000</v>
      </c>
      <c r="N219" s="18">
        <v>10000</v>
      </c>
      <c r="P219" s="84">
        <f t="shared" si="40"/>
        <v>10000</v>
      </c>
      <c r="Q219" s="84">
        <v>8606</v>
      </c>
      <c r="R219">
        <v>86.06</v>
      </c>
      <c r="S219" s="84"/>
      <c r="T219" s="84">
        <v>12000</v>
      </c>
      <c r="V219" s="84">
        <v>12000</v>
      </c>
    </row>
    <row r="220" spans="1:23" x14ac:dyDescent="0.35">
      <c r="A220" s="2" t="s">
        <v>263</v>
      </c>
      <c r="B220" s="2" t="s">
        <v>212</v>
      </c>
      <c r="C220" s="26">
        <v>45000</v>
      </c>
      <c r="D220" s="17">
        <v>45000</v>
      </c>
      <c r="F220" s="17">
        <v>45000</v>
      </c>
      <c r="G220" s="17">
        <v>0</v>
      </c>
      <c r="H220" s="17">
        <f t="shared" si="42"/>
        <v>45000</v>
      </c>
      <c r="I220" s="17">
        <v>45000</v>
      </c>
      <c r="N220" s="18">
        <v>45000</v>
      </c>
      <c r="P220" s="84">
        <f t="shared" si="40"/>
        <v>45000</v>
      </c>
      <c r="Q220" s="84">
        <v>56967</v>
      </c>
      <c r="R220">
        <v>126.59</v>
      </c>
      <c r="S220" s="84"/>
      <c r="T220" s="84">
        <v>55000</v>
      </c>
      <c r="U220" t="s">
        <v>729</v>
      </c>
      <c r="V220" s="84">
        <v>55000</v>
      </c>
    </row>
    <row r="221" spans="1:23" x14ac:dyDescent="0.35">
      <c r="A221" s="2" t="s">
        <v>264</v>
      </c>
      <c r="B221" s="2" t="s">
        <v>265</v>
      </c>
      <c r="C221" s="26">
        <v>1500</v>
      </c>
      <c r="D221" s="17">
        <v>15500</v>
      </c>
      <c r="F221" s="17">
        <v>15000</v>
      </c>
      <c r="G221" s="17">
        <v>0</v>
      </c>
      <c r="H221" s="17">
        <f t="shared" si="42"/>
        <v>15000</v>
      </c>
      <c r="I221" s="17">
        <v>15000</v>
      </c>
      <c r="N221" s="29">
        <v>14000</v>
      </c>
      <c r="P221" s="84">
        <f t="shared" si="40"/>
        <v>14000</v>
      </c>
      <c r="Q221" s="84">
        <v>0</v>
      </c>
      <c r="S221" s="84"/>
      <c r="T221" s="84">
        <v>13500</v>
      </c>
      <c r="U221" t="s">
        <v>728</v>
      </c>
      <c r="V221" s="84">
        <v>13500</v>
      </c>
    </row>
    <row r="222" spans="1:23" x14ac:dyDescent="0.35">
      <c r="A222" s="2" t="s">
        <v>266</v>
      </c>
      <c r="B222" s="2" t="s">
        <v>216</v>
      </c>
      <c r="C222" s="26">
        <v>90000</v>
      </c>
      <c r="D222" s="17">
        <v>90000</v>
      </c>
      <c r="F222" s="17">
        <v>90000</v>
      </c>
      <c r="G222" s="17">
        <v>0</v>
      </c>
      <c r="H222" s="17">
        <f t="shared" si="42"/>
        <v>90000</v>
      </c>
      <c r="I222" s="17">
        <v>90000</v>
      </c>
      <c r="N222" s="29">
        <v>88000</v>
      </c>
      <c r="P222" s="84">
        <f t="shared" si="40"/>
        <v>88000</v>
      </c>
      <c r="Q222" s="84">
        <v>87840.31</v>
      </c>
      <c r="R222">
        <v>99.81</v>
      </c>
      <c r="S222" s="84"/>
      <c r="T222" s="84">
        <v>88000</v>
      </c>
      <c r="U222" t="s">
        <v>743</v>
      </c>
      <c r="V222" s="84">
        <v>88000</v>
      </c>
      <c r="W222" t="s">
        <v>813</v>
      </c>
    </row>
    <row r="223" spans="1:23" x14ac:dyDescent="0.35">
      <c r="B223" s="2" t="s">
        <v>725</v>
      </c>
      <c r="C223" s="26"/>
      <c r="N223" s="29"/>
      <c r="P223" s="84"/>
      <c r="Q223" s="84"/>
      <c r="S223" s="84"/>
      <c r="T223" s="84">
        <v>75000</v>
      </c>
      <c r="U223" t="s">
        <v>734</v>
      </c>
      <c r="V223" s="84"/>
    </row>
    <row r="224" spans="1:23" x14ac:dyDescent="0.35">
      <c r="A224" s="2" t="s">
        <v>267</v>
      </c>
      <c r="B224" s="2" t="s">
        <v>268</v>
      </c>
      <c r="C224" s="26">
        <v>20000</v>
      </c>
      <c r="D224" s="17">
        <v>20000</v>
      </c>
      <c r="F224" s="17">
        <v>20000</v>
      </c>
      <c r="G224" s="17">
        <v>0</v>
      </c>
      <c r="H224" s="17">
        <f t="shared" si="42"/>
        <v>20000</v>
      </c>
      <c r="I224" s="17">
        <v>20000</v>
      </c>
      <c r="N224" s="29">
        <v>19000</v>
      </c>
      <c r="P224" s="84">
        <f t="shared" si="40"/>
        <v>19000</v>
      </c>
      <c r="Q224" s="84">
        <v>9441</v>
      </c>
      <c r="S224" s="84"/>
      <c r="T224" s="84">
        <v>19000</v>
      </c>
      <c r="V224" s="84">
        <v>19000</v>
      </c>
    </row>
    <row r="225" spans="1:23" x14ac:dyDescent="0.35">
      <c r="A225" s="2" t="s">
        <v>269</v>
      </c>
      <c r="B225" s="2" t="s">
        <v>270</v>
      </c>
      <c r="C225" s="26">
        <v>1500</v>
      </c>
      <c r="D225" s="17">
        <v>1500</v>
      </c>
      <c r="F225" s="17">
        <v>1500</v>
      </c>
      <c r="G225" s="17">
        <v>0</v>
      </c>
      <c r="H225" s="17">
        <f t="shared" si="42"/>
        <v>1500</v>
      </c>
      <c r="I225" s="17">
        <v>1500</v>
      </c>
      <c r="N225" s="29">
        <v>1000</v>
      </c>
      <c r="P225" s="84">
        <f t="shared" si="40"/>
        <v>1000</v>
      </c>
      <c r="Q225" s="84">
        <v>0</v>
      </c>
      <c r="S225" s="84"/>
      <c r="T225" s="84">
        <v>0</v>
      </c>
      <c r="V225" s="84">
        <v>0</v>
      </c>
    </row>
    <row r="226" spans="1:23" x14ac:dyDescent="0.35">
      <c r="A226" s="2" t="s">
        <v>271</v>
      </c>
      <c r="B226" s="2" t="s">
        <v>45</v>
      </c>
      <c r="C226" s="26">
        <v>4500</v>
      </c>
      <c r="D226" s="17">
        <v>4500</v>
      </c>
      <c r="F226" s="17">
        <v>4500</v>
      </c>
      <c r="G226" s="17">
        <v>0</v>
      </c>
      <c r="H226" s="17">
        <f t="shared" si="42"/>
        <v>4500</v>
      </c>
      <c r="I226" s="17">
        <v>4500</v>
      </c>
      <c r="N226" s="18">
        <v>4500</v>
      </c>
      <c r="O226">
        <v>9512</v>
      </c>
      <c r="P226" s="84">
        <f t="shared" si="40"/>
        <v>14012</v>
      </c>
      <c r="Q226" s="84">
        <v>5801.37</v>
      </c>
      <c r="R226">
        <v>128.91</v>
      </c>
      <c r="S226" s="84"/>
      <c r="T226" s="84">
        <v>15000</v>
      </c>
      <c r="U226" t="s">
        <v>730</v>
      </c>
      <c r="V226" s="84">
        <v>15000</v>
      </c>
    </row>
    <row r="227" spans="1:23" x14ac:dyDescent="0.35">
      <c r="B227" s="5" t="s">
        <v>48</v>
      </c>
      <c r="C227" s="26">
        <v>304000</v>
      </c>
      <c r="D227" s="17">
        <f>SUM(D207:D226)</f>
        <v>324500</v>
      </c>
      <c r="F227" s="20">
        <f>SUM(F207:F226)</f>
        <v>324000</v>
      </c>
      <c r="G227" s="17">
        <v>0</v>
      </c>
      <c r="H227" s="20">
        <f t="shared" si="42"/>
        <v>324000</v>
      </c>
      <c r="I227" s="20">
        <f t="shared" ref="I227:N227" si="43">SUM(I207:I226)</f>
        <v>374000</v>
      </c>
      <c r="J227" s="20">
        <f t="shared" si="43"/>
        <v>0</v>
      </c>
      <c r="K227" s="20">
        <f t="shared" si="43"/>
        <v>0</v>
      </c>
      <c r="L227" s="20">
        <f t="shared" si="43"/>
        <v>0</v>
      </c>
      <c r="M227" s="20">
        <f t="shared" si="43"/>
        <v>0</v>
      </c>
      <c r="N227" s="23">
        <f t="shared" si="43"/>
        <v>363500</v>
      </c>
      <c r="O227" s="20">
        <f>SUM(O207:O226)</f>
        <v>9512</v>
      </c>
      <c r="P227" s="88">
        <f t="shared" si="40"/>
        <v>373012</v>
      </c>
      <c r="Q227" s="84">
        <f>SUM(Q207:Q226)</f>
        <v>309355.68</v>
      </c>
      <c r="S227" s="88"/>
      <c r="T227" s="88">
        <v>457500</v>
      </c>
      <c r="V227" s="88">
        <f>SUM(V207:V226)</f>
        <v>382500</v>
      </c>
    </row>
    <row r="228" spans="1:23" x14ac:dyDescent="0.35">
      <c r="B228" s="5"/>
      <c r="C228" s="26"/>
      <c r="P228" s="84"/>
      <c r="Q228" s="84"/>
      <c r="S228" s="84"/>
      <c r="V228" s="84"/>
    </row>
    <row r="229" spans="1:23" x14ac:dyDescent="0.35">
      <c r="A229" s="2" t="s">
        <v>272</v>
      </c>
      <c r="B229" s="6" t="s">
        <v>50</v>
      </c>
      <c r="C229" s="26">
        <v>10000</v>
      </c>
      <c r="D229" s="17">
        <v>10000</v>
      </c>
      <c r="F229" s="17">
        <v>10000</v>
      </c>
      <c r="G229" s="17">
        <v>0</v>
      </c>
      <c r="H229" s="17">
        <f>SUM(F229:G229)</f>
        <v>10000</v>
      </c>
      <c r="I229" s="17">
        <v>10000</v>
      </c>
      <c r="N229" s="18">
        <v>10000</v>
      </c>
      <c r="P229" s="84">
        <f t="shared" si="40"/>
        <v>10000</v>
      </c>
      <c r="Q229" s="84">
        <v>9512</v>
      </c>
      <c r="S229" s="84"/>
      <c r="T229" s="84">
        <v>10000</v>
      </c>
      <c r="V229" s="84">
        <v>10000</v>
      </c>
    </row>
    <row r="230" spans="1:23" x14ac:dyDescent="0.35">
      <c r="B230" s="5" t="s">
        <v>105</v>
      </c>
      <c r="C230" s="26">
        <v>10000</v>
      </c>
      <c r="D230" s="17">
        <f>SUM(D229)</f>
        <v>10000</v>
      </c>
      <c r="F230" s="20">
        <f>SUM(F229)</f>
        <v>10000</v>
      </c>
      <c r="G230" s="17">
        <f>SUM(G229)</f>
        <v>0</v>
      </c>
      <c r="H230" s="20">
        <f>SUM(F230:G230)</f>
        <v>10000</v>
      </c>
      <c r="I230" s="20">
        <f t="shared" ref="I230:N230" si="44">SUM(I229)</f>
        <v>10000</v>
      </c>
      <c r="J230" s="20">
        <f t="shared" si="44"/>
        <v>0</v>
      </c>
      <c r="K230" s="20">
        <f t="shared" si="44"/>
        <v>0</v>
      </c>
      <c r="L230" s="20">
        <f t="shared" si="44"/>
        <v>0</v>
      </c>
      <c r="M230" s="20">
        <f t="shared" si="44"/>
        <v>0</v>
      </c>
      <c r="N230" s="23">
        <f t="shared" si="44"/>
        <v>10000</v>
      </c>
      <c r="O230">
        <v>0</v>
      </c>
      <c r="P230" s="88">
        <f t="shared" si="40"/>
        <v>10000</v>
      </c>
      <c r="Q230" s="84">
        <f>SUM(Q229)</f>
        <v>9512</v>
      </c>
      <c r="S230" s="88"/>
      <c r="T230" s="88">
        <f>SUM(T229)</f>
        <v>10000</v>
      </c>
      <c r="V230" s="88">
        <f>SUM(V229)</f>
        <v>10000</v>
      </c>
    </row>
    <row r="231" spans="1:23" x14ac:dyDescent="0.35">
      <c r="C231" s="26"/>
      <c r="P231" s="84"/>
      <c r="Q231" s="84"/>
      <c r="S231" s="84"/>
      <c r="V231" s="84"/>
    </row>
    <row r="232" spans="1:23" x14ac:dyDescent="0.35">
      <c r="A232" s="2" t="s">
        <v>273</v>
      </c>
      <c r="B232" s="2" t="s">
        <v>274</v>
      </c>
      <c r="C232" s="26"/>
      <c r="D232" s="17">
        <v>0</v>
      </c>
      <c r="F232" s="17">
        <v>0</v>
      </c>
      <c r="G232" s="17">
        <v>0</v>
      </c>
      <c r="H232" s="17">
        <f>SUM(F232:G232)</f>
        <v>0</v>
      </c>
      <c r="I232" s="17">
        <f>310000+68000</f>
        <v>378000</v>
      </c>
      <c r="N232" s="18">
        <v>378000</v>
      </c>
      <c r="P232" s="84">
        <f t="shared" si="40"/>
        <v>378000</v>
      </c>
      <c r="Q232" s="84"/>
      <c r="S232" s="84"/>
      <c r="T232" s="84">
        <v>70000</v>
      </c>
      <c r="U232" t="s">
        <v>744</v>
      </c>
      <c r="V232" s="84">
        <v>70000</v>
      </c>
      <c r="W232" t="s">
        <v>812</v>
      </c>
    </row>
    <row r="233" spans="1:23" x14ac:dyDescent="0.35">
      <c r="A233" s="2" t="s">
        <v>275</v>
      </c>
      <c r="B233" s="2" t="s">
        <v>74</v>
      </c>
      <c r="C233" s="26">
        <v>30000</v>
      </c>
      <c r="D233" s="17">
        <v>80000</v>
      </c>
      <c r="E233" s="2" t="s">
        <v>528</v>
      </c>
      <c r="F233" s="17">
        <v>80000</v>
      </c>
      <c r="G233" s="17">
        <v>0</v>
      </c>
      <c r="H233" s="17">
        <f>SUM(F233:G233)</f>
        <v>80000</v>
      </c>
      <c r="I233" s="17">
        <v>0</v>
      </c>
      <c r="N233" s="18">
        <v>0</v>
      </c>
      <c r="P233" s="84">
        <f t="shared" si="40"/>
        <v>0</v>
      </c>
      <c r="Q233" s="84"/>
      <c r="S233" s="84"/>
      <c r="T233" s="84">
        <v>65000</v>
      </c>
      <c r="U233" t="s">
        <v>733</v>
      </c>
      <c r="V233" s="84">
        <f>347000+65000</f>
        <v>412000</v>
      </c>
      <c r="W233" t="s">
        <v>811</v>
      </c>
    </row>
    <row r="234" spans="1:23" x14ac:dyDescent="0.35">
      <c r="A234" s="2" t="s">
        <v>276</v>
      </c>
      <c r="B234" s="2" t="s">
        <v>277</v>
      </c>
      <c r="C234" s="26">
        <v>75000</v>
      </c>
      <c r="D234" s="17">
        <v>75000</v>
      </c>
      <c r="E234" s="26" t="s">
        <v>529</v>
      </c>
      <c r="F234" s="17">
        <v>75000</v>
      </c>
      <c r="G234" s="17">
        <v>0</v>
      </c>
      <c r="H234" s="17">
        <f>SUM(F234:G234)</f>
        <v>75000</v>
      </c>
      <c r="I234" s="17">
        <v>0</v>
      </c>
      <c r="N234" s="18">
        <v>0</v>
      </c>
      <c r="P234" s="84">
        <f t="shared" si="40"/>
        <v>0</v>
      </c>
      <c r="Q234" s="84">
        <v>5674</v>
      </c>
      <c r="S234" s="84"/>
      <c r="T234" s="84">
        <v>0</v>
      </c>
      <c r="V234" s="84">
        <v>0</v>
      </c>
    </row>
    <row r="235" spans="1:23" x14ac:dyDescent="0.35">
      <c r="B235" s="4" t="s">
        <v>77</v>
      </c>
      <c r="C235" s="26">
        <v>105000</v>
      </c>
      <c r="D235" s="17">
        <f>SUM(D233:D234)</f>
        <v>155000</v>
      </c>
      <c r="E235" s="26"/>
      <c r="F235" s="20">
        <f>SUM(F233:F234)</f>
        <v>155000</v>
      </c>
      <c r="G235" s="17">
        <v>0</v>
      </c>
      <c r="H235" s="20">
        <f>SUM(F235:G235)</f>
        <v>155000</v>
      </c>
      <c r="I235" s="20">
        <f t="shared" ref="I235:N235" si="45">SUM(I232:I234)</f>
        <v>378000</v>
      </c>
      <c r="J235" s="20">
        <f t="shared" si="45"/>
        <v>0</v>
      </c>
      <c r="K235" s="20">
        <f t="shared" si="45"/>
        <v>0</v>
      </c>
      <c r="L235" s="20">
        <f t="shared" si="45"/>
        <v>0</v>
      </c>
      <c r="M235" s="20">
        <f t="shared" si="45"/>
        <v>0</v>
      </c>
      <c r="N235" s="23">
        <f t="shared" si="45"/>
        <v>378000</v>
      </c>
      <c r="O235">
        <v>0</v>
      </c>
      <c r="P235" s="88">
        <f t="shared" si="40"/>
        <v>378000</v>
      </c>
      <c r="Q235" s="84">
        <f>SUM(Q232:Q234)</f>
        <v>5674</v>
      </c>
      <c r="S235" s="88"/>
      <c r="T235" s="88">
        <v>135000</v>
      </c>
      <c r="V235" s="88">
        <f>SUM(V232:V234)</f>
        <v>482000</v>
      </c>
    </row>
    <row r="236" spans="1:23" x14ac:dyDescent="0.35">
      <c r="C236" s="26"/>
      <c r="P236" s="84"/>
      <c r="Q236" s="84"/>
      <c r="S236" s="84"/>
      <c r="V236" s="84"/>
    </row>
    <row r="237" spans="1:23" x14ac:dyDescent="0.35">
      <c r="B237" s="9" t="s">
        <v>278</v>
      </c>
      <c r="C237" s="26">
        <v>1875000</v>
      </c>
      <c r="D237" s="17">
        <f>D235+D227+D204+D230</f>
        <v>3704095</v>
      </c>
      <c r="E237" s="17">
        <f>E235+E227+E204+E230</f>
        <v>0</v>
      </c>
      <c r="F237" s="17">
        <f>F235+F227+F204+F230</f>
        <v>2088490</v>
      </c>
      <c r="G237" s="17">
        <f>G235+G227+G204+G230</f>
        <v>36300</v>
      </c>
      <c r="H237" s="20">
        <f>SUM(F237:G237)</f>
        <v>2124790</v>
      </c>
      <c r="I237" s="20">
        <f t="shared" ref="I237:N237" si="46">I235+I230+I227+I204</f>
        <v>2700518.0269643376</v>
      </c>
      <c r="J237" s="20">
        <f t="shared" si="46"/>
        <v>0</v>
      </c>
      <c r="K237" s="20">
        <f t="shared" si="46"/>
        <v>0</v>
      </c>
      <c r="L237" s="20">
        <f t="shared" si="46"/>
        <v>0</v>
      </c>
      <c r="M237" s="20">
        <f t="shared" si="46"/>
        <v>0</v>
      </c>
      <c r="N237" s="23">
        <f t="shared" si="46"/>
        <v>2597397</v>
      </c>
      <c r="O237" s="20">
        <f>SUM(O235+O230+O227+O204)</f>
        <v>110686</v>
      </c>
      <c r="P237" s="88">
        <f t="shared" si="40"/>
        <v>2708083</v>
      </c>
      <c r="Q237" s="84">
        <f>SUM(Q235+Q230+Q227+Q204)</f>
        <v>1687668.68</v>
      </c>
      <c r="R237">
        <v>62.69</v>
      </c>
      <c r="S237" s="88"/>
      <c r="T237" s="88">
        <f>SUM(T235+T230+T227+T204)</f>
        <v>2792837</v>
      </c>
      <c r="V237" s="88">
        <f>SUM(V235+V230+V227+V204)</f>
        <v>3064837</v>
      </c>
    </row>
    <row r="238" spans="1:23" x14ac:dyDescent="0.35">
      <c r="B238" s="4"/>
      <c r="C238" s="26"/>
      <c r="P238" s="84"/>
      <c r="Q238" s="84"/>
      <c r="S238" s="84"/>
      <c r="V238" s="84"/>
    </row>
    <row r="239" spans="1:23" x14ac:dyDescent="0.35">
      <c r="B239" s="9"/>
      <c r="C239" s="26"/>
      <c r="P239" s="84"/>
      <c r="Q239" s="84"/>
      <c r="S239" s="84"/>
      <c r="V239" s="84"/>
    </row>
    <row r="240" spans="1:23" x14ac:dyDescent="0.35">
      <c r="A240" s="3" t="s">
        <v>279</v>
      </c>
      <c r="C240" s="26"/>
      <c r="E240" s="19" t="s">
        <v>508</v>
      </c>
      <c r="P240" s="84"/>
      <c r="Q240" s="84"/>
      <c r="S240" s="84"/>
      <c r="V240" s="84"/>
    </row>
    <row r="241" spans="1:22" x14ac:dyDescent="0.35">
      <c r="A241" s="2" t="s">
        <v>280</v>
      </c>
      <c r="B241" s="2" t="s">
        <v>281</v>
      </c>
      <c r="C241" s="26">
        <v>149000</v>
      </c>
      <c r="D241" s="17">
        <v>178384</v>
      </c>
      <c r="E241" s="2" t="s">
        <v>530</v>
      </c>
      <c r="F241" s="17">
        <v>182428</v>
      </c>
      <c r="G241" s="17">
        <v>0</v>
      </c>
      <c r="H241" s="17">
        <f>SUM(F241:G241)</f>
        <v>182428</v>
      </c>
      <c r="I241" s="17">
        <v>193347</v>
      </c>
      <c r="N241" s="18">
        <v>203052</v>
      </c>
      <c r="O241">
        <f>6000+4319</f>
        <v>10319</v>
      </c>
      <c r="P241" s="84">
        <f t="shared" si="40"/>
        <v>213371</v>
      </c>
      <c r="Q241" s="84">
        <v>132053</v>
      </c>
      <c r="R241">
        <v>61.88</v>
      </c>
      <c r="S241" s="84"/>
      <c r="T241" s="84">
        <v>219974</v>
      </c>
      <c r="V241" s="84">
        <v>219974</v>
      </c>
    </row>
    <row r="242" spans="1:22" x14ac:dyDescent="0.35">
      <c r="A242" s="2" t="s">
        <v>282</v>
      </c>
      <c r="B242" s="2" t="s">
        <v>173</v>
      </c>
      <c r="C242" s="26">
        <v>16500</v>
      </c>
      <c r="D242" s="17">
        <v>22500</v>
      </c>
      <c r="F242" s="17">
        <v>21002</v>
      </c>
      <c r="G242" s="17">
        <v>0</v>
      </c>
      <c r="H242" s="17">
        <f t="shared" ref="H242:H275" si="47">SUM(F242:G242)</f>
        <v>21002</v>
      </c>
      <c r="I242" s="17">
        <v>42000</v>
      </c>
      <c r="N242" s="18">
        <v>42000</v>
      </c>
      <c r="O242">
        <f>2000+1000</f>
        <v>3000</v>
      </c>
      <c r="P242" s="84">
        <f t="shared" si="40"/>
        <v>45000</v>
      </c>
      <c r="Q242" s="84">
        <v>8803</v>
      </c>
      <c r="R242">
        <v>19.559999999999999</v>
      </c>
      <c r="S242" s="84"/>
      <c r="T242" s="84">
        <v>42000</v>
      </c>
      <c r="V242" s="84">
        <v>31000</v>
      </c>
    </row>
    <row r="243" spans="1:22" x14ac:dyDescent="0.35">
      <c r="A243" s="2" t="s">
        <v>283</v>
      </c>
      <c r="B243" s="2" t="s">
        <v>4</v>
      </c>
      <c r="C243" s="26">
        <v>12700</v>
      </c>
      <c r="D243" s="17">
        <v>15368</v>
      </c>
      <c r="F243" s="17">
        <v>15562</v>
      </c>
      <c r="G243" s="17">
        <v>0</v>
      </c>
      <c r="H243" s="17">
        <f t="shared" si="47"/>
        <v>15562</v>
      </c>
      <c r="I243" s="17">
        <v>18004</v>
      </c>
      <c r="N243" s="18">
        <v>18747</v>
      </c>
      <c r="O243">
        <f>612+407</f>
        <v>1019</v>
      </c>
      <c r="P243" s="84">
        <f t="shared" si="40"/>
        <v>19766</v>
      </c>
      <c r="Q243" s="84">
        <v>10716</v>
      </c>
      <c r="R243">
        <v>54.21</v>
      </c>
      <c r="S243" s="84"/>
      <c r="T243" s="84">
        <v>20041</v>
      </c>
      <c r="V243" s="84">
        <v>19200</v>
      </c>
    </row>
    <row r="244" spans="1:22" x14ac:dyDescent="0.35">
      <c r="A244" s="2" t="s">
        <v>284</v>
      </c>
      <c r="B244" s="2" t="s">
        <v>285</v>
      </c>
      <c r="C244" s="26">
        <v>7500</v>
      </c>
      <c r="D244" s="17">
        <v>8586.43</v>
      </c>
      <c r="F244" s="17">
        <v>9121</v>
      </c>
      <c r="G244" s="17">
        <v>0</v>
      </c>
      <c r="H244" s="17">
        <f t="shared" si="47"/>
        <v>9121</v>
      </c>
      <c r="I244" s="17">
        <v>9667.3545750000012</v>
      </c>
      <c r="N244" s="18">
        <v>10153</v>
      </c>
      <c r="O244">
        <f>300+216</f>
        <v>516</v>
      </c>
      <c r="P244" s="84">
        <f t="shared" si="40"/>
        <v>10669</v>
      </c>
      <c r="Q244" s="84">
        <v>6603</v>
      </c>
      <c r="R244">
        <v>61.88</v>
      </c>
      <c r="S244" s="84"/>
      <c r="T244" s="84">
        <v>10999</v>
      </c>
      <c r="V244" s="84">
        <v>10999</v>
      </c>
    </row>
    <row r="245" spans="1:22" x14ac:dyDescent="0.35">
      <c r="A245" s="2" t="s">
        <v>286</v>
      </c>
      <c r="B245" s="2" t="s">
        <v>8</v>
      </c>
      <c r="C245" s="26">
        <v>17000</v>
      </c>
      <c r="D245" s="17">
        <v>20779.16</v>
      </c>
      <c r="F245" s="17">
        <v>22074</v>
      </c>
      <c r="G245" s="17">
        <v>0</v>
      </c>
      <c r="H245" s="17">
        <f t="shared" si="47"/>
        <v>22074</v>
      </c>
      <c r="I245" s="17">
        <v>23394.998071499998</v>
      </c>
      <c r="N245" s="18">
        <v>26048</v>
      </c>
      <c r="O245">
        <f>773+556</f>
        <v>1329</v>
      </c>
      <c r="P245" s="84">
        <f t="shared" si="40"/>
        <v>27377</v>
      </c>
      <c r="Q245" s="84">
        <v>17022</v>
      </c>
      <c r="R245">
        <v>62.17</v>
      </c>
      <c r="S245" s="84"/>
      <c r="T245" s="84">
        <v>30004</v>
      </c>
      <c r="V245" s="84">
        <v>30004</v>
      </c>
    </row>
    <row r="246" spans="1:22" x14ac:dyDescent="0.35">
      <c r="A246" s="2" t="s">
        <v>287</v>
      </c>
      <c r="B246" s="2" t="s">
        <v>288</v>
      </c>
      <c r="C246" s="26">
        <v>19000</v>
      </c>
      <c r="D246" s="17">
        <v>24881.25</v>
      </c>
      <c r="F246" s="17">
        <v>23382</v>
      </c>
      <c r="G246" s="17">
        <v>0</v>
      </c>
      <c r="H246" s="17">
        <f t="shared" si="47"/>
        <v>23382</v>
      </c>
      <c r="I246" s="17">
        <v>24882.000000000004</v>
      </c>
      <c r="N246" s="18">
        <v>24882</v>
      </c>
      <c r="P246" s="84">
        <f t="shared" si="40"/>
        <v>24882</v>
      </c>
      <c r="Q246" s="84">
        <v>11913</v>
      </c>
      <c r="R246">
        <v>47.87</v>
      </c>
      <c r="S246" s="84"/>
      <c r="T246" s="84">
        <v>24882</v>
      </c>
      <c r="V246" s="84">
        <v>24882</v>
      </c>
    </row>
    <row r="247" spans="1:22" x14ac:dyDescent="0.35">
      <c r="A247" s="2" t="s">
        <v>289</v>
      </c>
      <c r="B247" s="2" t="s">
        <v>290</v>
      </c>
      <c r="C247" s="26">
        <v>750</v>
      </c>
      <c r="D247" s="17" t="str">
        <f>A247</f>
        <v>10-80-6300-1860</v>
      </c>
      <c r="F247" s="17">
        <v>750</v>
      </c>
      <c r="G247" s="17">
        <v>0</v>
      </c>
      <c r="H247" s="17">
        <f t="shared" si="47"/>
        <v>750</v>
      </c>
      <c r="I247" s="17">
        <f>SUM(G247:H247)</f>
        <v>750</v>
      </c>
      <c r="N247" s="18">
        <v>500</v>
      </c>
      <c r="P247" s="84">
        <f t="shared" si="40"/>
        <v>500</v>
      </c>
      <c r="Q247" s="84">
        <v>1081</v>
      </c>
      <c r="R247">
        <v>216</v>
      </c>
      <c r="S247" s="84"/>
      <c r="T247" s="84">
        <v>500</v>
      </c>
      <c r="V247" s="84">
        <v>500</v>
      </c>
    </row>
    <row r="248" spans="1:22" x14ac:dyDescent="0.35">
      <c r="B248" s="4" t="s">
        <v>13</v>
      </c>
      <c r="C248" s="26">
        <v>222450</v>
      </c>
      <c r="D248" s="17">
        <f>SUM(D241:D247)</f>
        <v>270498.83999999997</v>
      </c>
      <c r="F248" s="17">
        <f>SUM(F241:F247)</f>
        <v>274319</v>
      </c>
      <c r="G248" s="17">
        <v>0</v>
      </c>
      <c r="H248" s="20">
        <f t="shared" si="47"/>
        <v>274319</v>
      </c>
      <c r="I248" s="20">
        <f t="shared" ref="I248:N248" si="48">SUM(I241:I247)</f>
        <v>312045.35264649999</v>
      </c>
      <c r="J248" s="20">
        <f t="shared" si="48"/>
        <v>0</v>
      </c>
      <c r="K248" s="20">
        <f t="shared" si="48"/>
        <v>0</v>
      </c>
      <c r="L248" s="20">
        <f t="shared" si="48"/>
        <v>0</v>
      </c>
      <c r="M248" s="20">
        <f t="shared" si="48"/>
        <v>0</v>
      </c>
      <c r="N248" s="23">
        <f t="shared" si="48"/>
        <v>325382</v>
      </c>
      <c r="O248" s="20">
        <f>SUM(O241:O247)</f>
        <v>16183</v>
      </c>
      <c r="P248" s="88">
        <f t="shared" si="40"/>
        <v>341565</v>
      </c>
      <c r="Q248" s="84">
        <f>SUM(Q241:Q247)</f>
        <v>188191</v>
      </c>
      <c r="S248" s="88"/>
      <c r="T248" s="88">
        <f>SUM(T241:T247)</f>
        <v>348400</v>
      </c>
      <c r="V248" s="88">
        <f>SUM(V241:V247)</f>
        <v>336559</v>
      </c>
    </row>
    <row r="249" spans="1:22" x14ac:dyDescent="0.35">
      <c r="C249" s="26"/>
      <c r="P249" s="84"/>
      <c r="Q249" s="84"/>
      <c r="S249" s="84"/>
      <c r="V249" s="84"/>
    </row>
    <row r="250" spans="1:22" x14ac:dyDescent="0.35">
      <c r="A250" s="2" t="s">
        <v>291</v>
      </c>
      <c r="B250" s="2" t="s">
        <v>189</v>
      </c>
      <c r="C250" s="26"/>
      <c r="I250" s="17">
        <v>1200</v>
      </c>
      <c r="N250" s="18">
        <v>1200</v>
      </c>
      <c r="P250" s="84">
        <f t="shared" si="40"/>
        <v>1200</v>
      </c>
      <c r="Q250" s="84">
        <v>0</v>
      </c>
      <c r="S250" s="84"/>
      <c r="T250" s="84">
        <v>1200</v>
      </c>
      <c r="V250" s="84">
        <v>1200</v>
      </c>
    </row>
    <row r="251" spans="1:22" x14ac:dyDescent="0.35">
      <c r="A251" s="2" t="s">
        <v>311</v>
      </c>
      <c r="B251" s="2" t="s">
        <v>312</v>
      </c>
      <c r="C251" s="26">
        <v>1000</v>
      </c>
      <c r="D251" s="17">
        <v>2500</v>
      </c>
      <c r="F251" s="17">
        <v>2500</v>
      </c>
      <c r="G251" s="17">
        <v>0</v>
      </c>
      <c r="H251" s="17">
        <f>SUM(F251:G251)</f>
        <v>2500</v>
      </c>
      <c r="I251" s="17">
        <v>2500</v>
      </c>
      <c r="N251" s="18">
        <v>2500</v>
      </c>
      <c r="P251" s="84">
        <f>N251+O251</f>
        <v>2500</v>
      </c>
      <c r="Q251" s="84">
        <v>578</v>
      </c>
      <c r="R251">
        <v>23.1</v>
      </c>
      <c r="S251" s="84"/>
      <c r="T251" s="84">
        <v>2500</v>
      </c>
      <c r="V251" s="84">
        <v>2500</v>
      </c>
    </row>
    <row r="252" spans="1:22" x14ac:dyDescent="0.35">
      <c r="A252" s="2" t="s">
        <v>292</v>
      </c>
      <c r="B252" s="2" t="s">
        <v>17</v>
      </c>
      <c r="C252" s="26">
        <v>4500</v>
      </c>
      <c r="D252" s="17">
        <v>4500</v>
      </c>
      <c r="F252" s="17">
        <v>4500</v>
      </c>
      <c r="G252" s="17">
        <v>0</v>
      </c>
      <c r="H252" s="17">
        <f t="shared" si="47"/>
        <v>4500</v>
      </c>
      <c r="I252" s="17">
        <v>4500</v>
      </c>
      <c r="N252" s="18">
        <v>4500</v>
      </c>
      <c r="P252" s="84">
        <f t="shared" si="40"/>
        <v>4500</v>
      </c>
      <c r="Q252" s="84">
        <v>1917</v>
      </c>
      <c r="R252">
        <v>42.59</v>
      </c>
      <c r="S252" s="84"/>
      <c r="T252" s="84">
        <v>4500</v>
      </c>
      <c r="V252" s="84">
        <v>4500</v>
      </c>
    </row>
    <row r="253" spans="1:22" x14ac:dyDescent="0.35">
      <c r="A253" s="2" t="s">
        <v>293</v>
      </c>
      <c r="B253" s="2" t="s">
        <v>294</v>
      </c>
      <c r="C253" s="26">
        <v>3000</v>
      </c>
      <c r="D253" s="17">
        <v>5000</v>
      </c>
      <c r="F253" s="17">
        <v>5000</v>
      </c>
      <c r="G253" s="17">
        <v>0</v>
      </c>
      <c r="H253" s="17">
        <f t="shared" si="47"/>
        <v>5000</v>
      </c>
      <c r="I253" s="17">
        <v>5000</v>
      </c>
      <c r="N253" s="18">
        <v>5000</v>
      </c>
      <c r="P253" s="84">
        <f t="shared" si="40"/>
        <v>5000</v>
      </c>
      <c r="Q253" s="84">
        <v>2052</v>
      </c>
      <c r="R253">
        <v>41.04</v>
      </c>
      <c r="S253" s="84"/>
      <c r="T253" s="84">
        <v>5000</v>
      </c>
      <c r="V253" s="84">
        <v>5000</v>
      </c>
    </row>
    <row r="254" spans="1:22" x14ac:dyDescent="0.35">
      <c r="A254" s="2" t="s">
        <v>295</v>
      </c>
      <c r="B254" s="2" t="s">
        <v>19</v>
      </c>
      <c r="C254" s="26">
        <v>3500</v>
      </c>
      <c r="D254" s="17">
        <v>10500</v>
      </c>
      <c r="F254" s="17">
        <v>8000</v>
      </c>
      <c r="G254" s="17">
        <v>0</v>
      </c>
      <c r="H254" s="17">
        <f t="shared" si="47"/>
        <v>8000</v>
      </c>
      <c r="I254" s="17">
        <v>7000</v>
      </c>
      <c r="N254" s="18">
        <v>7000</v>
      </c>
      <c r="P254" s="84">
        <f t="shared" si="40"/>
        <v>7000</v>
      </c>
      <c r="Q254" s="84">
        <v>0</v>
      </c>
      <c r="S254" s="84"/>
      <c r="T254" s="84">
        <v>5500</v>
      </c>
      <c r="V254" s="84">
        <v>5500</v>
      </c>
    </row>
    <row r="255" spans="1:22" x14ac:dyDescent="0.35">
      <c r="A255" s="2" t="s">
        <v>296</v>
      </c>
      <c r="B255" s="2" t="s">
        <v>97</v>
      </c>
      <c r="C255" s="26">
        <v>2000</v>
      </c>
      <c r="D255" s="17">
        <v>3000</v>
      </c>
      <c r="F255" s="17">
        <v>3000</v>
      </c>
      <c r="G255" s="17">
        <v>0</v>
      </c>
      <c r="H255" s="17">
        <f t="shared" si="47"/>
        <v>3000</v>
      </c>
      <c r="I255" s="17">
        <v>3200</v>
      </c>
      <c r="N255" s="18">
        <v>3200</v>
      </c>
      <c r="P255" s="84">
        <f t="shared" si="40"/>
        <v>3200</v>
      </c>
      <c r="Q255" s="84">
        <v>78</v>
      </c>
      <c r="R255">
        <v>2.4300000000000002</v>
      </c>
      <c r="S255" s="84"/>
      <c r="T255" s="84">
        <v>3200</v>
      </c>
      <c r="V255" s="84">
        <v>2800</v>
      </c>
    </row>
    <row r="256" spans="1:22" x14ac:dyDescent="0.35">
      <c r="A256" s="2" t="s">
        <v>297</v>
      </c>
      <c r="B256" s="2" t="s">
        <v>31</v>
      </c>
      <c r="C256" s="26">
        <v>4800</v>
      </c>
      <c r="D256" s="17">
        <v>5600</v>
      </c>
      <c r="F256" s="17">
        <v>5600</v>
      </c>
      <c r="G256" s="17">
        <v>0</v>
      </c>
      <c r="H256" s="17">
        <f t="shared" si="47"/>
        <v>5600</v>
      </c>
      <c r="I256" s="17">
        <v>5600</v>
      </c>
      <c r="N256" s="18">
        <v>5600</v>
      </c>
      <c r="P256" s="84">
        <f t="shared" si="40"/>
        <v>5600</v>
      </c>
      <c r="Q256" s="84">
        <v>2932</v>
      </c>
      <c r="R256">
        <v>52.35</v>
      </c>
      <c r="S256" s="84"/>
      <c r="T256" s="84">
        <v>5600</v>
      </c>
      <c r="V256" s="84">
        <v>5600</v>
      </c>
    </row>
    <row r="257" spans="1:22" x14ac:dyDescent="0.35">
      <c r="A257" s="2" t="s">
        <v>309</v>
      </c>
      <c r="B257" s="2" t="s">
        <v>35</v>
      </c>
      <c r="C257" s="26">
        <v>9000</v>
      </c>
      <c r="D257" s="17">
        <v>9000</v>
      </c>
      <c r="F257" s="17">
        <v>9000</v>
      </c>
      <c r="G257" s="17">
        <v>0</v>
      </c>
      <c r="H257" s="17">
        <f>SUM(F257:G257)</f>
        <v>9000</v>
      </c>
      <c r="I257" s="17">
        <v>7000</v>
      </c>
      <c r="N257" s="18">
        <v>7000</v>
      </c>
      <c r="P257" s="84">
        <f>N257+O257</f>
        <v>7000</v>
      </c>
      <c r="Q257" s="84">
        <v>2132</v>
      </c>
      <c r="R257">
        <v>30.45</v>
      </c>
      <c r="S257" s="84"/>
      <c r="T257" s="84">
        <v>7000</v>
      </c>
      <c r="V257" s="84">
        <v>6000</v>
      </c>
    </row>
    <row r="258" spans="1:22" x14ac:dyDescent="0.35">
      <c r="A258" s="2" t="s">
        <v>298</v>
      </c>
      <c r="B258" s="2" t="s">
        <v>299</v>
      </c>
      <c r="C258" s="26">
        <v>15000</v>
      </c>
      <c r="D258" s="17">
        <v>19000</v>
      </c>
      <c r="F258" s="17">
        <v>19000</v>
      </c>
      <c r="G258" s="17">
        <v>0</v>
      </c>
      <c r="H258" s="17">
        <f t="shared" si="47"/>
        <v>19000</v>
      </c>
      <c r="I258" s="17">
        <v>19000</v>
      </c>
      <c r="N258" s="18">
        <v>19000</v>
      </c>
      <c r="P258" s="84">
        <f t="shared" si="40"/>
        <v>19000</v>
      </c>
      <c r="Q258" s="84">
        <v>7793</v>
      </c>
      <c r="R258">
        <v>41.01</v>
      </c>
      <c r="S258" s="84"/>
      <c r="T258" s="84">
        <v>19000</v>
      </c>
      <c r="V258" s="84">
        <v>19000</v>
      </c>
    </row>
    <row r="259" spans="1:22" x14ac:dyDescent="0.35">
      <c r="A259" s="2" t="s">
        <v>300</v>
      </c>
      <c r="B259" s="2" t="s">
        <v>301</v>
      </c>
      <c r="C259" s="26">
        <v>4000</v>
      </c>
      <c r="D259" s="17">
        <v>4500</v>
      </c>
      <c r="F259" s="17">
        <v>4500</v>
      </c>
      <c r="G259" s="17">
        <v>0</v>
      </c>
      <c r="H259" s="17">
        <f t="shared" si="47"/>
        <v>4500</v>
      </c>
      <c r="I259" s="17">
        <v>4500</v>
      </c>
      <c r="N259" s="18">
        <v>4500</v>
      </c>
      <c r="P259" s="84">
        <f t="shared" si="40"/>
        <v>4500</v>
      </c>
      <c r="Q259" s="84">
        <v>1517</v>
      </c>
      <c r="R259">
        <v>33.71</v>
      </c>
      <c r="S259" s="84"/>
      <c r="T259" s="84">
        <v>4500</v>
      </c>
      <c r="V259" s="84">
        <v>4500</v>
      </c>
    </row>
    <row r="260" spans="1:22" x14ac:dyDescent="0.35">
      <c r="A260" s="2" t="s">
        <v>302</v>
      </c>
      <c r="B260" s="2" t="s">
        <v>303</v>
      </c>
      <c r="C260" s="26">
        <v>5100</v>
      </c>
      <c r="D260" s="17">
        <v>8000</v>
      </c>
      <c r="F260" s="17">
        <v>8000</v>
      </c>
      <c r="G260" s="17">
        <v>0</v>
      </c>
      <c r="H260" s="17">
        <f t="shared" si="47"/>
        <v>8000</v>
      </c>
      <c r="I260" s="17">
        <v>2000</v>
      </c>
      <c r="N260" s="18">
        <v>2000</v>
      </c>
      <c r="P260" s="84">
        <f t="shared" si="40"/>
        <v>2000</v>
      </c>
      <c r="Q260" s="84">
        <v>1055</v>
      </c>
      <c r="R260">
        <v>52.76</v>
      </c>
      <c r="S260" s="84"/>
      <c r="T260" s="84">
        <v>3000</v>
      </c>
      <c r="V260" s="84">
        <v>3000</v>
      </c>
    </row>
    <row r="261" spans="1:22" x14ac:dyDescent="0.35">
      <c r="A261" s="2" t="s">
        <v>304</v>
      </c>
      <c r="B261" s="2" t="s">
        <v>210</v>
      </c>
      <c r="C261" s="26">
        <v>1000</v>
      </c>
      <c r="D261" s="17">
        <v>1000</v>
      </c>
      <c r="F261" s="17">
        <v>1000</v>
      </c>
      <c r="G261" s="17">
        <v>0</v>
      </c>
      <c r="H261" s="17">
        <f t="shared" si="47"/>
        <v>1000</v>
      </c>
      <c r="I261" s="17">
        <v>1000</v>
      </c>
      <c r="N261" s="18">
        <v>1000</v>
      </c>
      <c r="P261" s="84">
        <f t="shared" si="40"/>
        <v>1000</v>
      </c>
      <c r="Q261" s="84">
        <v>170</v>
      </c>
      <c r="R261">
        <v>17</v>
      </c>
      <c r="S261" s="84"/>
      <c r="T261" s="84">
        <v>1000</v>
      </c>
      <c r="V261" s="84">
        <v>1000</v>
      </c>
    </row>
    <row r="262" spans="1:22" x14ac:dyDescent="0.35">
      <c r="A262" s="2" t="s">
        <v>305</v>
      </c>
      <c r="B262" s="2" t="s">
        <v>212</v>
      </c>
      <c r="C262" s="26">
        <v>1000</v>
      </c>
      <c r="D262" s="17">
        <v>1000</v>
      </c>
      <c r="F262" s="17">
        <v>1000</v>
      </c>
      <c r="G262" s="17">
        <v>0</v>
      </c>
      <c r="H262" s="17">
        <f t="shared" si="47"/>
        <v>1000</v>
      </c>
      <c r="I262" s="17">
        <v>1500</v>
      </c>
      <c r="N262" s="18">
        <v>1500</v>
      </c>
      <c r="P262" s="84">
        <f t="shared" si="40"/>
        <v>1500</v>
      </c>
      <c r="Q262" s="84">
        <v>449</v>
      </c>
      <c r="R262">
        <v>29.95</v>
      </c>
      <c r="S262" s="84"/>
      <c r="T262" s="84">
        <v>1500</v>
      </c>
      <c r="V262" s="84">
        <v>1500</v>
      </c>
    </row>
    <row r="263" spans="1:22" x14ac:dyDescent="0.35">
      <c r="A263" s="2" t="s">
        <v>306</v>
      </c>
      <c r="B263" s="2" t="s">
        <v>307</v>
      </c>
      <c r="C263" s="26">
        <v>38000</v>
      </c>
      <c r="D263" s="17">
        <v>57500</v>
      </c>
      <c r="F263" s="17">
        <v>51500</v>
      </c>
      <c r="G263" s="17">
        <v>0</v>
      </c>
      <c r="H263" s="17">
        <f t="shared" si="47"/>
        <v>51500</v>
      </c>
      <c r="I263" s="17">
        <v>61000</v>
      </c>
      <c r="N263" s="18">
        <v>61000</v>
      </c>
      <c r="P263" s="84">
        <f t="shared" si="40"/>
        <v>61000</v>
      </c>
      <c r="Q263" s="84">
        <v>23898</v>
      </c>
      <c r="S263" s="84"/>
      <c r="T263" s="84">
        <v>48000</v>
      </c>
      <c r="V263" s="84">
        <v>48000</v>
      </c>
    </row>
    <row r="264" spans="1:22" x14ac:dyDescent="0.35">
      <c r="A264" s="2" t="s">
        <v>308</v>
      </c>
      <c r="B264" s="2" t="s">
        <v>122</v>
      </c>
      <c r="C264" s="26">
        <v>16000</v>
      </c>
      <c r="D264" s="17">
        <v>21000</v>
      </c>
      <c r="F264" s="17">
        <v>20000</v>
      </c>
      <c r="G264" s="17">
        <v>0</v>
      </c>
      <c r="H264" s="17">
        <f t="shared" si="47"/>
        <v>20000</v>
      </c>
      <c r="I264" s="17">
        <v>51000</v>
      </c>
      <c r="N264" s="29">
        <v>49000</v>
      </c>
      <c r="P264" s="84">
        <f t="shared" si="40"/>
        <v>49000</v>
      </c>
      <c r="Q264" s="84">
        <v>35042</v>
      </c>
      <c r="S264" s="84"/>
      <c r="T264" s="84">
        <v>20000</v>
      </c>
      <c r="V264" s="84">
        <v>20000</v>
      </c>
    </row>
    <row r="265" spans="1:22" x14ac:dyDescent="0.35">
      <c r="A265" s="2" t="s">
        <v>310</v>
      </c>
      <c r="B265" s="2" t="s">
        <v>45</v>
      </c>
      <c r="C265" s="26">
        <v>5000</v>
      </c>
      <c r="D265" s="17">
        <v>5100</v>
      </c>
      <c r="F265" s="17">
        <v>5100</v>
      </c>
      <c r="G265" s="17">
        <v>0</v>
      </c>
      <c r="H265" s="17">
        <f t="shared" si="47"/>
        <v>5100</v>
      </c>
      <c r="I265" s="17">
        <v>5400</v>
      </c>
      <c r="N265" s="18">
        <v>5400</v>
      </c>
      <c r="P265" s="84">
        <f t="shared" si="40"/>
        <v>5400</v>
      </c>
      <c r="Q265" s="84">
        <v>3726</v>
      </c>
      <c r="R265">
        <v>68.989999999999995</v>
      </c>
      <c r="S265" s="84"/>
      <c r="T265" s="84">
        <v>5000</v>
      </c>
      <c r="V265" s="84">
        <v>5000</v>
      </c>
    </row>
    <row r="266" spans="1:22" x14ac:dyDescent="0.35">
      <c r="B266" s="5" t="s">
        <v>48</v>
      </c>
      <c r="C266" s="26">
        <v>112900</v>
      </c>
      <c r="D266" s="17">
        <f>SUM(D252:D265)</f>
        <v>154700</v>
      </c>
      <c r="F266" s="17">
        <f>SUM(F252:F265)</f>
        <v>145200</v>
      </c>
      <c r="G266" s="17">
        <v>0</v>
      </c>
      <c r="H266" s="20">
        <f t="shared" si="47"/>
        <v>145200</v>
      </c>
      <c r="I266" s="20">
        <f t="shared" ref="I266:N266" si="49">SUM(I250:I265)</f>
        <v>181400</v>
      </c>
      <c r="J266" s="20">
        <f t="shared" si="49"/>
        <v>0</v>
      </c>
      <c r="K266" s="20">
        <f t="shared" si="49"/>
        <v>0</v>
      </c>
      <c r="L266" s="20">
        <f t="shared" si="49"/>
        <v>0</v>
      </c>
      <c r="M266" s="20">
        <f t="shared" si="49"/>
        <v>0</v>
      </c>
      <c r="N266" s="23">
        <f t="shared" si="49"/>
        <v>179400</v>
      </c>
      <c r="O266">
        <v>0</v>
      </c>
      <c r="P266" s="88">
        <f t="shared" si="40"/>
        <v>179400</v>
      </c>
      <c r="Q266" s="84">
        <f>SUM(Q250:Q265)</f>
        <v>83339</v>
      </c>
      <c r="S266" s="88"/>
      <c r="T266" s="88">
        <f>SUM(T250:T265)</f>
        <v>136500</v>
      </c>
      <c r="V266" s="88">
        <f>SUM(V250:V265)</f>
        <v>135100</v>
      </c>
    </row>
    <row r="267" spans="1:22" x14ac:dyDescent="0.35">
      <c r="B267" s="5"/>
      <c r="C267" s="26"/>
      <c r="P267" s="84"/>
      <c r="Q267" s="84"/>
      <c r="S267" s="84"/>
      <c r="V267" s="84"/>
    </row>
    <row r="268" spans="1:22" x14ac:dyDescent="0.35">
      <c r="A268" s="2" t="s">
        <v>313</v>
      </c>
      <c r="B268" s="2" t="s">
        <v>67</v>
      </c>
      <c r="C268" s="26">
        <v>4000</v>
      </c>
      <c r="D268" s="17">
        <v>0</v>
      </c>
      <c r="E268" s="2" t="s">
        <v>531</v>
      </c>
      <c r="F268" s="17">
        <v>0</v>
      </c>
      <c r="G268" s="17">
        <v>0</v>
      </c>
      <c r="H268" s="17">
        <f t="shared" si="47"/>
        <v>0</v>
      </c>
      <c r="P268" s="84"/>
      <c r="Q268" s="84"/>
      <c r="S268" s="84"/>
      <c r="V268" s="84"/>
    </row>
    <row r="269" spans="1:22" x14ac:dyDescent="0.35">
      <c r="A269" s="2" t="s">
        <v>314</v>
      </c>
      <c r="B269" s="6" t="s">
        <v>50</v>
      </c>
      <c r="C269" s="26">
        <v>25000</v>
      </c>
      <c r="D269" s="17">
        <v>37000</v>
      </c>
      <c r="E269" s="2" t="s">
        <v>532</v>
      </c>
      <c r="F269" s="17">
        <v>37000</v>
      </c>
      <c r="G269" s="17">
        <v>0</v>
      </c>
      <c r="H269" s="17">
        <f t="shared" si="47"/>
        <v>37000</v>
      </c>
      <c r="I269" s="17">
        <v>55000</v>
      </c>
      <c r="N269" s="29">
        <v>4000</v>
      </c>
      <c r="O269">
        <v>30000</v>
      </c>
      <c r="P269" s="84">
        <f t="shared" ref="P269:P328" si="50">N269+O269</f>
        <v>34000</v>
      </c>
      <c r="Q269" s="84">
        <v>23300</v>
      </c>
      <c r="R269">
        <v>52.15</v>
      </c>
      <c r="S269" s="84"/>
      <c r="T269" s="84">
        <v>37500</v>
      </c>
      <c r="V269" s="84">
        <v>37500</v>
      </c>
    </row>
    <row r="270" spans="1:22" x14ac:dyDescent="0.35">
      <c r="B270" s="5" t="s">
        <v>105</v>
      </c>
      <c r="C270" s="26">
        <v>29000</v>
      </c>
      <c r="D270" s="17">
        <f>SUM(D268:D269)</f>
        <v>37000</v>
      </c>
      <c r="F270" s="17">
        <f>SUM(F268:F269)</f>
        <v>37000</v>
      </c>
      <c r="G270" s="17">
        <v>0</v>
      </c>
      <c r="H270" s="20">
        <f t="shared" si="47"/>
        <v>37000</v>
      </c>
      <c r="I270" s="20">
        <f t="shared" ref="I270:N270" si="51">SUM(I268:I269)</f>
        <v>55000</v>
      </c>
      <c r="J270" s="20">
        <f t="shared" si="51"/>
        <v>0</v>
      </c>
      <c r="K270" s="20">
        <f t="shared" si="51"/>
        <v>0</v>
      </c>
      <c r="L270" s="20">
        <f t="shared" si="51"/>
        <v>0</v>
      </c>
      <c r="M270" s="20">
        <f t="shared" si="51"/>
        <v>0</v>
      </c>
      <c r="N270" s="23">
        <f t="shared" si="51"/>
        <v>4000</v>
      </c>
      <c r="O270" s="20">
        <f>SUM(O269)</f>
        <v>30000</v>
      </c>
      <c r="P270" s="88">
        <f t="shared" si="50"/>
        <v>34000</v>
      </c>
      <c r="Q270" s="84">
        <f>SUM(Q269)</f>
        <v>23300</v>
      </c>
      <c r="S270" s="88"/>
      <c r="T270" s="88">
        <f>SUM(T268:T269)</f>
        <v>37500</v>
      </c>
      <c r="V270" s="88">
        <f>SUM(V268:V269)</f>
        <v>37500</v>
      </c>
    </row>
    <row r="271" spans="1:22" x14ac:dyDescent="0.35">
      <c r="B271" s="5"/>
      <c r="C271" s="26"/>
      <c r="P271" s="84"/>
      <c r="Q271" s="84"/>
      <c r="S271" s="84"/>
      <c r="V271" s="84"/>
    </row>
    <row r="272" spans="1:22" x14ac:dyDescent="0.35">
      <c r="A272" s="2" t="s">
        <v>315</v>
      </c>
      <c r="B272" s="2" t="s">
        <v>316</v>
      </c>
      <c r="C272" s="26">
        <v>108500</v>
      </c>
      <c r="D272" s="17">
        <v>325750</v>
      </c>
      <c r="E272" s="2" t="s">
        <v>533</v>
      </c>
      <c r="F272" s="17">
        <v>225750</v>
      </c>
      <c r="G272" s="17">
        <v>0</v>
      </c>
      <c r="H272" s="17">
        <f t="shared" si="47"/>
        <v>225750</v>
      </c>
      <c r="I272" s="17">
        <v>292000</v>
      </c>
      <c r="N272" s="18">
        <v>292000</v>
      </c>
      <c r="P272" s="84">
        <f t="shared" si="50"/>
        <v>292000</v>
      </c>
      <c r="Q272" s="84">
        <v>171187</v>
      </c>
      <c r="R272">
        <v>40.08</v>
      </c>
      <c r="S272" s="84"/>
      <c r="T272" s="84">
        <v>14000</v>
      </c>
      <c r="V272" s="84">
        <v>14000</v>
      </c>
    </row>
    <row r="273" spans="1:23" x14ac:dyDescent="0.35">
      <c r="B273" s="4" t="s">
        <v>77</v>
      </c>
      <c r="C273" s="26">
        <v>108500</v>
      </c>
      <c r="D273" s="17">
        <f>SUM(D272)</f>
        <v>325750</v>
      </c>
      <c r="F273" s="17">
        <f>SUM(F272)</f>
        <v>225750</v>
      </c>
      <c r="G273" s="17">
        <v>0</v>
      </c>
      <c r="H273" s="20">
        <f t="shared" si="47"/>
        <v>225750</v>
      </c>
      <c r="I273" s="20">
        <f t="shared" ref="I273:N273" si="52">SUM(I272)</f>
        <v>292000</v>
      </c>
      <c r="J273" s="20">
        <f t="shared" si="52"/>
        <v>0</v>
      </c>
      <c r="K273" s="20">
        <f t="shared" si="52"/>
        <v>0</v>
      </c>
      <c r="L273" s="20">
        <f t="shared" si="52"/>
        <v>0</v>
      </c>
      <c r="M273" s="20">
        <f t="shared" si="52"/>
        <v>0</v>
      </c>
      <c r="N273" s="23">
        <f t="shared" si="52"/>
        <v>292000</v>
      </c>
      <c r="O273">
        <v>0</v>
      </c>
      <c r="P273" s="88">
        <f t="shared" si="50"/>
        <v>292000</v>
      </c>
      <c r="Q273" s="84">
        <f>SUM(Q272)</f>
        <v>171187</v>
      </c>
      <c r="S273" s="88"/>
      <c r="T273" s="88">
        <f>SUM(T272)</f>
        <v>14000</v>
      </c>
      <c r="V273" s="88">
        <f>SUM(V272)</f>
        <v>14000</v>
      </c>
    </row>
    <row r="274" spans="1:23" x14ac:dyDescent="0.35">
      <c r="C274" s="26"/>
      <c r="P274" s="84"/>
      <c r="Q274" s="84"/>
      <c r="S274" s="84"/>
      <c r="V274" s="84"/>
    </row>
    <row r="275" spans="1:23" x14ac:dyDescent="0.35">
      <c r="B275" s="9" t="s">
        <v>317</v>
      </c>
      <c r="C275" s="26">
        <v>472850</v>
      </c>
      <c r="D275" s="17">
        <f>D273+D266+D248+D270</f>
        <v>787948.84</v>
      </c>
      <c r="E275" s="17">
        <f>E273+E266+E248+E270</f>
        <v>0</v>
      </c>
      <c r="F275" s="17">
        <f>F273+F266+F248+F270</f>
        <v>682269</v>
      </c>
      <c r="G275" s="17">
        <v>0</v>
      </c>
      <c r="H275" s="20">
        <f t="shared" si="47"/>
        <v>682269</v>
      </c>
      <c r="I275" s="20">
        <f t="shared" ref="I275:N275" si="53">I273+I270+I266+I248</f>
        <v>840445.35264649999</v>
      </c>
      <c r="J275" s="20">
        <f t="shared" si="53"/>
        <v>0</v>
      </c>
      <c r="K275" s="20">
        <f t="shared" si="53"/>
        <v>0</v>
      </c>
      <c r="L275" s="20">
        <f t="shared" si="53"/>
        <v>0</v>
      </c>
      <c r="M275" s="20">
        <f t="shared" si="53"/>
        <v>0</v>
      </c>
      <c r="N275" s="23">
        <f t="shared" si="53"/>
        <v>800782</v>
      </c>
      <c r="O275" s="20">
        <f>SUM(O273+O270+O266+O248)</f>
        <v>46183</v>
      </c>
      <c r="P275" s="88">
        <f t="shared" si="50"/>
        <v>846965</v>
      </c>
      <c r="Q275" s="84">
        <f>SUM(Q273+Q270+Q266+Q248)</f>
        <v>466017</v>
      </c>
      <c r="R275">
        <v>47.18</v>
      </c>
      <c r="S275" s="88"/>
      <c r="T275" s="88">
        <f>SUM(T273+T270+T266+T248)</f>
        <v>536400</v>
      </c>
      <c r="V275" s="88">
        <f>SUM(V273+V270+V266+V248)</f>
        <v>523159</v>
      </c>
    </row>
    <row r="276" spans="1:23" x14ac:dyDescent="0.35">
      <c r="B276" s="9"/>
      <c r="C276" s="26"/>
      <c r="P276" s="84"/>
      <c r="Q276" s="84"/>
      <c r="S276" s="84"/>
      <c r="V276" s="84"/>
    </row>
    <row r="277" spans="1:23" x14ac:dyDescent="0.35">
      <c r="A277" s="3" t="s">
        <v>318</v>
      </c>
      <c r="C277" s="26"/>
      <c r="E277" s="19" t="s">
        <v>508</v>
      </c>
      <c r="P277" s="84"/>
      <c r="Q277" s="84"/>
      <c r="S277" s="84"/>
      <c r="V277" s="84"/>
    </row>
    <row r="278" spans="1:23" x14ac:dyDescent="0.35">
      <c r="A278" s="2" t="s">
        <v>319</v>
      </c>
      <c r="B278" s="2" t="s">
        <v>83</v>
      </c>
      <c r="C278" s="26">
        <v>325000</v>
      </c>
      <c r="D278" s="17">
        <v>351601</v>
      </c>
      <c r="F278" s="17">
        <v>359390</v>
      </c>
      <c r="G278" s="17">
        <v>0</v>
      </c>
      <c r="H278" s="17">
        <f>SUM(F278:G278)</f>
        <v>359390</v>
      </c>
      <c r="I278" s="17">
        <v>344340</v>
      </c>
      <c r="N278" s="18">
        <v>346031</v>
      </c>
      <c r="O278">
        <f>12149+8715</f>
        <v>20864</v>
      </c>
      <c r="P278" s="84">
        <f t="shared" si="50"/>
        <v>366895</v>
      </c>
      <c r="Q278" s="84">
        <v>281833</v>
      </c>
      <c r="R278">
        <v>76.34</v>
      </c>
      <c r="S278" s="84"/>
      <c r="T278" s="84">
        <v>505119</v>
      </c>
      <c r="V278" s="84">
        <v>467822</v>
      </c>
    </row>
    <row r="279" spans="1:23" x14ac:dyDescent="0.35">
      <c r="A279" s="2" t="s">
        <v>320</v>
      </c>
      <c r="B279" s="2" t="s">
        <v>234</v>
      </c>
      <c r="C279" s="26">
        <v>15000</v>
      </c>
      <c r="D279" s="17">
        <v>15000</v>
      </c>
      <c r="F279" s="17">
        <v>15000</v>
      </c>
      <c r="G279" s="17">
        <v>0</v>
      </c>
      <c r="H279" s="17">
        <f t="shared" ref="H279:H326" si="54">SUM(F279:G279)</f>
        <v>15000</v>
      </c>
      <c r="I279" s="17">
        <v>15986</v>
      </c>
      <c r="N279" s="18">
        <v>15986</v>
      </c>
      <c r="P279" s="84">
        <f t="shared" si="50"/>
        <v>15986</v>
      </c>
      <c r="Q279" s="84">
        <v>11735</v>
      </c>
      <c r="R279">
        <v>73.400000000000006</v>
      </c>
      <c r="S279" s="84"/>
      <c r="T279" s="84">
        <v>16223</v>
      </c>
      <c r="V279" s="84">
        <v>16223</v>
      </c>
    </row>
    <row r="280" spans="1:23" x14ac:dyDescent="0.35">
      <c r="A280" s="2" t="s">
        <v>321</v>
      </c>
      <c r="B280" s="2" t="s">
        <v>179</v>
      </c>
      <c r="C280" s="26"/>
      <c r="D280" s="17">
        <v>4500</v>
      </c>
      <c r="F280" s="17">
        <v>4500</v>
      </c>
      <c r="G280" s="17">
        <v>0</v>
      </c>
      <c r="H280" s="17">
        <f t="shared" si="54"/>
        <v>4500</v>
      </c>
      <c r="I280" s="17">
        <v>2250</v>
      </c>
      <c r="N280" s="18">
        <v>2250</v>
      </c>
      <c r="P280" s="84">
        <f t="shared" si="50"/>
        <v>2250</v>
      </c>
      <c r="Q280" s="84">
        <v>0</v>
      </c>
      <c r="S280" s="84"/>
      <c r="T280" s="84">
        <v>4500</v>
      </c>
      <c r="V280" s="84">
        <v>4500</v>
      </c>
    </row>
    <row r="281" spans="1:23" x14ac:dyDescent="0.35">
      <c r="A281" s="2" t="s">
        <v>322</v>
      </c>
      <c r="B281" s="2" t="s">
        <v>4</v>
      </c>
      <c r="C281" s="26">
        <v>27500</v>
      </c>
      <c r="D281" s="17">
        <v>26897</v>
      </c>
      <c r="F281" s="17">
        <v>27493</v>
      </c>
      <c r="G281" s="17">
        <v>0</v>
      </c>
      <c r="H281" s="17">
        <f t="shared" si="54"/>
        <v>27493</v>
      </c>
      <c r="I281" s="17">
        <v>27564.952384344379</v>
      </c>
      <c r="N281" s="18">
        <v>27694</v>
      </c>
      <c r="O281">
        <f>926+666</f>
        <v>1592</v>
      </c>
      <c r="P281" s="84">
        <f t="shared" si="50"/>
        <v>29286</v>
      </c>
      <c r="Q281" s="84">
        <v>22213</v>
      </c>
      <c r="R281">
        <v>75.849999999999994</v>
      </c>
      <c r="S281" s="84"/>
      <c r="T281" s="84">
        <v>38642</v>
      </c>
      <c r="V281" s="84">
        <v>35788</v>
      </c>
    </row>
    <row r="282" spans="1:23" x14ac:dyDescent="0.35">
      <c r="A282" s="2" t="s">
        <v>323</v>
      </c>
      <c r="B282" s="2" t="s">
        <v>6</v>
      </c>
      <c r="C282" s="26">
        <v>18000</v>
      </c>
      <c r="D282" s="17">
        <v>17580</v>
      </c>
      <c r="F282" s="17">
        <v>17970</v>
      </c>
      <c r="G282" s="17">
        <v>0</v>
      </c>
      <c r="H282" s="17">
        <f t="shared" si="54"/>
        <v>17970</v>
      </c>
      <c r="I282" s="17">
        <v>18128.808747937499</v>
      </c>
      <c r="N282" s="18">
        <v>18213</v>
      </c>
      <c r="O282">
        <f>600+435</f>
        <v>1035</v>
      </c>
      <c r="P282" s="84">
        <f t="shared" si="50"/>
        <v>19248</v>
      </c>
      <c r="Q282" s="84">
        <v>14174.88</v>
      </c>
      <c r="R282">
        <v>7.64</v>
      </c>
      <c r="S282" s="84"/>
      <c r="T282" s="84">
        <v>25256</v>
      </c>
      <c r="V282" s="84">
        <v>23391</v>
      </c>
    </row>
    <row r="283" spans="1:23" x14ac:dyDescent="0.35">
      <c r="A283" s="2" t="s">
        <v>324</v>
      </c>
      <c r="B283" s="2" t="s">
        <v>325</v>
      </c>
      <c r="C283" s="26">
        <v>40250</v>
      </c>
      <c r="D283" s="17">
        <v>42544</v>
      </c>
      <c r="F283" s="17">
        <v>43486</v>
      </c>
      <c r="G283" s="17">
        <v>0</v>
      </c>
      <c r="H283" s="17">
        <f t="shared" si="54"/>
        <v>43486</v>
      </c>
      <c r="I283" s="17">
        <v>43871.717170008742</v>
      </c>
      <c r="N283" s="18">
        <v>44076</v>
      </c>
      <c r="O283">
        <f>1560+1121</f>
        <v>2681</v>
      </c>
      <c r="P283" s="84">
        <f t="shared" si="50"/>
        <v>46757</v>
      </c>
      <c r="Q283" s="84">
        <v>37841</v>
      </c>
      <c r="R283">
        <v>80.930000000000007</v>
      </c>
      <c r="S283" s="84"/>
      <c r="T283" s="84">
        <v>68898</v>
      </c>
      <c r="V283" s="84">
        <v>63811</v>
      </c>
    </row>
    <row r="284" spans="1:23" x14ac:dyDescent="0.35">
      <c r="A284" s="2" t="s">
        <v>326</v>
      </c>
      <c r="B284" s="2" t="s">
        <v>327</v>
      </c>
      <c r="C284" s="26">
        <v>49500</v>
      </c>
      <c r="D284" s="17">
        <v>53910</v>
      </c>
      <c r="F284" s="17">
        <v>51160</v>
      </c>
      <c r="G284" s="17">
        <v>0</v>
      </c>
      <c r="H284" s="17">
        <f t="shared" si="54"/>
        <v>51160</v>
      </c>
      <c r="I284" s="17">
        <v>54382.75</v>
      </c>
      <c r="N284" s="18">
        <v>54383</v>
      </c>
      <c r="P284" s="84">
        <f t="shared" si="50"/>
        <v>54383</v>
      </c>
      <c r="Q284" s="84">
        <v>29777</v>
      </c>
      <c r="R284">
        <v>54.75</v>
      </c>
      <c r="S284" s="84"/>
      <c r="T284" s="84">
        <v>71860</v>
      </c>
      <c r="V284" s="84">
        <v>63860</v>
      </c>
    </row>
    <row r="285" spans="1:23" x14ac:dyDescent="0.35">
      <c r="A285" s="2" t="s">
        <v>328</v>
      </c>
      <c r="B285" s="2" t="s">
        <v>185</v>
      </c>
      <c r="C285" s="26">
        <v>8000</v>
      </c>
      <c r="D285" s="17">
        <f>C286*1.1</f>
        <v>531575</v>
      </c>
      <c r="F285" s="17">
        <v>8800</v>
      </c>
      <c r="G285" s="17">
        <v>0</v>
      </c>
      <c r="H285" s="17">
        <f t="shared" si="54"/>
        <v>8800</v>
      </c>
      <c r="I285" s="17">
        <f>SUM(G285:H285)</f>
        <v>8800</v>
      </c>
      <c r="N285" s="18">
        <v>4000</v>
      </c>
      <c r="P285" s="84">
        <f t="shared" si="50"/>
        <v>4000</v>
      </c>
      <c r="Q285" s="84">
        <v>1418</v>
      </c>
      <c r="R285">
        <v>35.450000000000003</v>
      </c>
      <c r="S285" s="84"/>
      <c r="T285" s="84">
        <v>4100</v>
      </c>
      <c r="V285" s="84">
        <v>4100</v>
      </c>
    </row>
    <row r="286" spans="1:23" x14ac:dyDescent="0.35">
      <c r="B286" s="4" t="s">
        <v>13</v>
      </c>
      <c r="C286" s="26">
        <v>483250</v>
      </c>
      <c r="D286" s="17">
        <f>SUM(D278:D285)</f>
        <v>1043607</v>
      </c>
      <c r="F286" s="17">
        <f>SUM(F278:F285)</f>
        <v>527799</v>
      </c>
      <c r="G286" s="17">
        <v>0</v>
      </c>
      <c r="H286" s="20">
        <f t="shared" si="54"/>
        <v>527799</v>
      </c>
      <c r="I286" s="20">
        <f t="shared" ref="I286:N286" si="55">SUM(I278:I285)</f>
        <v>515324.2283022906</v>
      </c>
      <c r="J286" s="20">
        <f t="shared" si="55"/>
        <v>0</v>
      </c>
      <c r="K286" s="20">
        <f t="shared" si="55"/>
        <v>0</v>
      </c>
      <c r="L286" s="20">
        <f t="shared" si="55"/>
        <v>0</v>
      </c>
      <c r="M286" s="20">
        <f t="shared" si="55"/>
        <v>0</v>
      </c>
      <c r="N286" s="23">
        <f t="shared" si="55"/>
        <v>512633</v>
      </c>
      <c r="O286" s="20">
        <f>SUM(O278:O285)</f>
        <v>26172</v>
      </c>
      <c r="P286" s="84">
        <f t="shared" si="50"/>
        <v>538805</v>
      </c>
      <c r="Q286" s="84">
        <f>SUM(Q278:Q285)</f>
        <v>398991.88</v>
      </c>
      <c r="S286" s="84"/>
      <c r="T286" s="88">
        <f>SUM(T278:T285)</f>
        <v>734598</v>
      </c>
      <c r="V286" s="88">
        <f>SUM(V278:V285)</f>
        <v>679495</v>
      </c>
    </row>
    <row r="287" spans="1:23" x14ac:dyDescent="0.35">
      <c r="C287" s="26"/>
      <c r="P287" s="84"/>
      <c r="Q287" s="84"/>
      <c r="S287" s="84"/>
      <c r="V287" s="84"/>
    </row>
    <row r="288" spans="1:23" x14ac:dyDescent="0.35">
      <c r="A288" s="2" t="s">
        <v>329</v>
      </c>
      <c r="B288" s="2" t="s">
        <v>189</v>
      </c>
      <c r="C288" s="26">
        <v>3150</v>
      </c>
      <c r="D288" s="17">
        <v>3150</v>
      </c>
      <c r="F288" s="17">
        <v>3150</v>
      </c>
      <c r="G288" s="17">
        <v>0</v>
      </c>
      <c r="H288" s="17">
        <f t="shared" si="54"/>
        <v>3150</v>
      </c>
      <c r="I288" s="17">
        <v>3150</v>
      </c>
      <c r="N288" s="18">
        <v>3150</v>
      </c>
      <c r="P288" s="84">
        <f t="shared" si="50"/>
        <v>3150</v>
      </c>
      <c r="Q288" s="84">
        <v>553</v>
      </c>
      <c r="R288">
        <v>17.559999999999999</v>
      </c>
      <c r="S288" s="84"/>
      <c r="T288" s="84">
        <v>3150</v>
      </c>
      <c r="V288" s="84">
        <v>2500</v>
      </c>
      <c r="W288" t="s">
        <v>799</v>
      </c>
    </row>
    <row r="289" spans="1:22" x14ac:dyDescent="0.35">
      <c r="A289" s="2" t="s">
        <v>330</v>
      </c>
      <c r="B289" s="2" t="s">
        <v>331</v>
      </c>
      <c r="C289" s="26">
        <v>21250</v>
      </c>
      <c r="D289" s="17">
        <v>21250</v>
      </c>
      <c r="F289" s="17">
        <v>21250</v>
      </c>
      <c r="G289" s="17">
        <v>0</v>
      </c>
      <c r="H289" s="17">
        <f t="shared" si="54"/>
        <v>21250</v>
      </c>
      <c r="I289" s="17">
        <v>23735</v>
      </c>
      <c r="N289" s="18">
        <v>23735</v>
      </c>
      <c r="P289" s="84">
        <f t="shared" si="50"/>
        <v>23735</v>
      </c>
      <c r="Q289" s="84">
        <v>24628</v>
      </c>
      <c r="R289">
        <v>107.97</v>
      </c>
      <c r="S289" s="84"/>
      <c r="T289" s="84">
        <v>38860</v>
      </c>
      <c r="V289" s="84">
        <v>38860</v>
      </c>
    </row>
    <row r="290" spans="1:22" x14ac:dyDescent="0.35">
      <c r="A290" s="2" t="s">
        <v>332</v>
      </c>
      <c r="B290" s="2" t="s">
        <v>17</v>
      </c>
      <c r="C290" s="26">
        <v>8500</v>
      </c>
      <c r="D290" s="17">
        <v>12000</v>
      </c>
      <c r="F290" s="17">
        <v>12000</v>
      </c>
      <c r="G290" s="17">
        <v>0</v>
      </c>
      <c r="H290" s="17">
        <f t="shared" si="54"/>
        <v>12000</v>
      </c>
      <c r="I290" s="17">
        <v>12000</v>
      </c>
      <c r="N290" s="18">
        <v>12000</v>
      </c>
      <c r="P290" s="84">
        <f t="shared" si="50"/>
        <v>12000</v>
      </c>
      <c r="Q290" s="84">
        <v>8186</v>
      </c>
      <c r="R290">
        <v>68.209999999999994</v>
      </c>
      <c r="S290" s="84"/>
      <c r="T290" s="84">
        <v>14000</v>
      </c>
      <c r="V290" s="84">
        <v>14000</v>
      </c>
    </row>
    <row r="291" spans="1:22" x14ac:dyDescent="0.35">
      <c r="A291" s="2" t="s">
        <v>333</v>
      </c>
      <c r="B291" s="2" t="s">
        <v>19</v>
      </c>
      <c r="C291" s="26">
        <v>4500</v>
      </c>
      <c r="D291" s="17">
        <v>4500</v>
      </c>
      <c r="F291" s="17">
        <v>4500</v>
      </c>
      <c r="G291" s="17">
        <v>0</v>
      </c>
      <c r="H291" s="17">
        <f t="shared" si="54"/>
        <v>4500</v>
      </c>
      <c r="I291" s="17">
        <v>4500</v>
      </c>
      <c r="N291" s="18">
        <v>4500</v>
      </c>
      <c r="P291" s="84">
        <f t="shared" si="50"/>
        <v>4500</v>
      </c>
      <c r="Q291" s="84">
        <v>950</v>
      </c>
      <c r="R291">
        <v>21.11</v>
      </c>
      <c r="S291" s="84"/>
      <c r="T291" s="84">
        <v>4500</v>
      </c>
      <c r="V291" s="84">
        <v>4500</v>
      </c>
    </row>
    <row r="292" spans="1:22" x14ac:dyDescent="0.35">
      <c r="A292" s="2" t="s">
        <v>334</v>
      </c>
      <c r="B292" s="2" t="s">
        <v>335</v>
      </c>
      <c r="C292" s="26">
        <v>5000</v>
      </c>
      <c r="D292" s="17">
        <v>5000</v>
      </c>
      <c r="F292" s="17">
        <v>5000</v>
      </c>
      <c r="G292" s="17">
        <v>0</v>
      </c>
      <c r="H292" s="17">
        <f t="shared" si="54"/>
        <v>5000</v>
      </c>
      <c r="I292" s="17">
        <v>5000</v>
      </c>
      <c r="N292" s="18">
        <v>5000</v>
      </c>
      <c r="P292" s="84">
        <f t="shared" si="50"/>
        <v>5000</v>
      </c>
      <c r="Q292" s="84">
        <v>1777</v>
      </c>
      <c r="R292">
        <v>35.53</v>
      </c>
      <c r="S292" s="84"/>
      <c r="T292" s="84">
        <v>5000</v>
      </c>
      <c r="V292" s="84">
        <v>4000</v>
      </c>
    </row>
    <row r="293" spans="1:22" x14ac:dyDescent="0.35">
      <c r="A293" s="2" t="s">
        <v>336</v>
      </c>
      <c r="B293" s="2" t="s">
        <v>97</v>
      </c>
      <c r="C293" s="26">
        <v>3000</v>
      </c>
      <c r="D293" s="17">
        <v>3000</v>
      </c>
      <c r="F293" s="17">
        <v>3000</v>
      </c>
      <c r="G293" s="17">
        <v>0</v>
      </c>
      <c r="H293" s="17">
        <f t="shared" si="54"/>
        <v>3000</v>
      </c>
      <c r="I293" s="17">
        <v>3000</v>
      </c>
      <c r="N293" s="18">
        <v>3000</v>
      </c>
      <c r="P293" s="84">
        <f t="shared" si="50"/>
        <v>3000</v>
      </c>
      <c r="Q293" s="84">
        <v>320</v>
      </c>
      <c r="R293">
        <v>10.66</v>
      </c>
      <c r="S293" s="84"/>
      <c r="T293" s="84">
        <v>3000</v>
      </c>
      <c r="V293" s="84">
        <v>3000</v>
      </c>
    </row>
    <row r="294" spans="1:22" x14ac:dyDescent="0.35">
      <c r="A294" s="2" t="s">
        <v>337</v>
      </c>
      <c r="B294" s="2" t="s">
        <v>99</v>
      </c>
      <c r="C294" s="26">
        <v>13000</v>
      </c>
      <c r="D294" s="17">
        <v>13000</v>
      </c>
      <c r="F294" s="17">
        <v>13000</v>
      </c>
      <c r="G294" s="17">
        <v>0</v>
      </c>
      <c r="H294" s="17">
        <f t="shared" si="54"/>
        <v>13000</v>
      </c>
      <c r="I294" s="17">
        <v>13000</v>
      </c>
      <c r="N294" s="18">
        <v>13000</v>
      </c>
      <c r="P294" s="84">
        <f t="shared" si="50"/>
        <v>13000</v>
      </c>
      <c r="Q294" s="84">
        <v>7499</v>
      </c>
      <c r="R294">
        <v>57.68</v>
      </c>
      <c r="S294" s="84"/>
      <c r="T294" s="84">
        <v>13000</v>
      </c>
      <c r="V294" s="84">
        <v>13000</v>
      </c>
    </row>
    <row r="295" spans="1:22" x14ac:dyDescent="0.35">
      <c r="A295" s="2" t="s">
        <v>338</v>
      </c>
      <c r="B295" s="2" t="s">
        <v>299</v>
      </c>
      <c r="C295" s="26">
        <v>6000</v>
      </c>
      <c r="D295" s="17">
        <v>6000</v>
      </c>
      <c r="F295" s="17">
        <v>6000</v>
      </c>
      <c r="G295" s="17">
        <v>0</v>
      </c>
      <c r="H295" s="17">
        <f t="shared" si="54"/>
        <v>6000</v>
      </c>
      <c r="I295" s="17">
        <v>6000</v>
      </c>
      <c r="N295" s="18">
        <v>6000</v>
      </c>
      <c r="P295" s="84">
        <f t="shared" si="50"/>
        <v>6000</v>
      </c>
      <c r="Q295" s="84">
        <v>4109</v>
      </c>
      <c r="R295">
        <v>68.48</v>
      </c>
      <c r="S295" s="84"/>
      <c r="T295" s="84">
        <v>6000</v>
      </c>
      <c r="V295" s="84">
        <v>6000</v>
      </c>
    </row>
    <row r="296" spans="1:22" x14ac:dyDescent="0.35">
      <c r="A296" s="2" t="s">
        <v>339</v>
      </c>
      <c r="B296" s="2" t="s">
        <v>340</v>
      </c>
      <c r="C296" s="26">
        <v>1000</v>
      </c>
      <c r="D296" s="17">
        <v>1000</v>
      </c>
      <c r="F296" s="17">
        <v>1000</v>
      </c>
      <c r="G296" s="17">
        <v>0</v>
      </c>
      <c r="H296" s="17">
        <f t="shared" si="54"/>
        <v>1000</v>
      </c>
      <c r="I296" s="17">
        <v>1000</v>
      </c>
      <c r="N296" s="18">
        <v>1000</v>
      </c>
      <c r="P296" s="84">
        <f t="shared" si="50"/>
        <v>1000</v>
      </c>
      <c r="Q296" s="84">
        <v>676.43</v>
      </c>
      <c r="R296">
        <v>67.64</v>
      </c>
      <c r="S296" s="84"/>
      <c r="T296" s="84">
        <v>1000</v>
      </c>
      <c r="V296" s="84">
        <v>1000</v>
      </c>
    </row>
    <row r="297" spans="1:22" x14ac:dyDescent="0.35">
      <c r="A297" s="2" t="s">
        <v>341</v>
      </c>
      <c r="B297" s="2" t="s">
        <v>342</v>
      </c>
      <c r="C297" s="26">
        <v>55000</v>
      </c>
      <c r="D297" s="17">
        <v>55000</v>
      </c>
      <c r="E297" s="2" t="s">
        <v>534</v>
      </c>
      <c r="F297" s="17">
        <v>55000</v>
      </c>
      <c r="G297" s="17">
        <v>0</v>
      </c>
      <c r="H297" s="17">
        <f t="shared" si="54"/>
        <v>55000</v>
      </c>
      <c r="I297" s="17">
        <v>61000</v>
      </c>
      <c r="N297" s="18">
        <v>61000</v>
      </c>
      <c r="P297" s="84">
        <f t="shared" si="50"/>
        <v>61000</v>
      </c>
      <c r="Q297" s="84">
        <v>51032</v>
      </c>
      <c r="R297">
        <v>83.65</v>
      </c>
      <c r="S297" s="84"/>
      <c r="T297" s="84">
        <v>67100</v>
      </c>
      <c r="V297" s="84">
        <v>67100</v>
      </c>
    </row>
    <row r="298" spans="1:22" x14ac:dyDescent="0.35">
      <c r="A298" s="2" t="s">
        <v>343</v>
      </c>
      <c r="B298" s="2" t="s">
        <v>344</v>
      </c>
      <c r="C298" s="26">
        <v>35600</v>
      </c>
      <c r="D298" s="17">
        <v>35600</v>
      </c>
      <c r="F298" s="17">
        <v>35600</v>
      </c>
      <c r="G298" s="17">
        <v>0</v>
      </c>
      <c r="H298" s="17">
        <f t="shared" si="54"/>
        <v>35600</v>
      </c>
      <c r="I298" s="17">
        <v>35600</v>
      </c>
      <c r="N298" s="29">
        <v>34000</v>
      </c>
      <c r="P298" s="84">
        <f t="shared" si="50"/>
        <v>34000</v>
      </c>
      <c r="Q298" s="84">
        <v>9510</v>
      </c>
      <c r="R298">
        <v>27.97</v>
      </c>
      <c r="S298" s="84"/>
      <c r="T298" s="84">
        <v>34000</v>
      </c>
      <c r="V298" s="84">
        <v>34000</v>
      </c>
    </row>
    <row r="299" spans="1:22" x14ac:dyDescent="0.35">
      <c r="A299" s="2" t="s">
        <v>345</v>
      </c>
      <c r="B299" s="2" t="s">
        <v>210</v>
      </c>
      <c r="C299" s="26">
        <v>14000</v>
      </c>
      <c r="D299" s="17">
        <v>14000</v>
      </c>
      <c r="F299" s="17">
        <v>14000</v>
      </c>
      <c r="G299" s="17">
        <v>0</v>
      </c>
      <c r="H299" s="17">
        <f t="shared" si="54"/>
        <v>14000</v>
      </c>
      <c r="I299" s="17">
        <v>14000</v>
      </c>
      <c r="N299" s="18">
        <v>14000</v>
      </c>
      <c r="P299" s="84">
        <f t="shared" si="50"/>
        <v>14000</v>
      </c>
      <c r="Q299" s="84">
        <v>14783</v>
      </c>
      <c r="R299">
        <v>105.59</v>
      </c>
      <c r="S299" s="84"/>
      <c r="T299" s="84">
        <v>15840</v>
      </c>
      <c r="V299" s="84">
        <v>16000</v>
      </c>
    </row>
    <row r="300" spans="1:22" x14ac:dyDescent="0.35">
      <c r="A300" s="2" t="s">
        <v>346</v>
      </c>
      <c r="B300" s="2" t="s">
        <v>212</v>
      </c>
      <c r="C300" s="26">
        <v>20000</v>
      </c>
      <c r="D300" s="17">
        <v>20000</v>
      </c>
      <c r="F300" s="17">
        <v>20000</v>
      </c>
      <c r="G300" s="17">
        <v>0</v>
      </c>
      <c r="H300" s="17">
        <f t="shared" si="54"/>
        <v>20000</v>
      </c>
      <c r="I300" s="17">
        <v>25000</v>
      </c>
      <c r="N300" s="29">
        <v>24000</v>
      </c>
      <c r="O300">
        <v>37000</v>
      </c>
      <c r="P300" s="84">
        <f t="shared" si="50"/>
        <v>61000</v>
      </c>
      <c r="Q300" s="84">
        <v>50683</v>
      </c>
      <c r="R300">
        <v>83.08</v>
      </c>
      <c r="S300" s="84"/>
      <c r="T300" s="84">
        <v>27500</v>
      </c>
      <c r="V300" s="84">
        <v>27500</v>
      </c>
    </row>
    <row r="301" spans="1:22" x14ac:dyDescent="0.35">
      <c r="A301" s="2" t="s">
        <v>347</v>
      </c>
      <c r="B301" s="2" t="s">
        <v>348</v>
      </c>
      <c r="C301" s="26">
        <v>1000</v>
      </c>
      <c r="D301" s="17">
        <v>1000</v>
      </c>
      <c r="F301" s="17">
        <v>1000</v>
      </c>
      <c r="G301" s="17">
        <v>0</v>
      </c>
      <c r="H301" s="17">
        <f t="shared" si="54"/>
        <v>1000</v>
      </c>
      <c r="I301" s="17">
        <v>1000</v>
      </c>
      <c r="N301" s="18">
        <v>1000</v>
      </c>
      <c r="P301" s="84">
        <f t="shared" si="50"/>
        <v>1000</v>
      </c>
      <c r="Q301" s="84">
        <v>666</v>
      </c>
      <c r="R301">
        <v>66.599999999999994</v>
      </c>
      <c r="S301" s="84"/>
      <c r="T301" s="84">
        <v>1000</v>
      </c>
      <c r="V301" s="84">
        <v>1000</v>
      </c>
    </row>
    <row r="302" spans="1:22" x14ac:dyDescent="0.35">
      <c r="A302" s="2" t="s">
        <v>349</v>
      </c>
      <c r="B302" s="2" t="s">
        <v>350</v>
      </c>
      <c r="C302" s="26">
        <v>5000</v>
      </c>
      <c r="D302" s="17">
        <v>5000</v>
      </c>
      <c r="F302" s="17">
        <v>5000</v>
      </c>
      <c r="G302" s="17">
        <v>0</v>
      </c>
      <c r="H302" s="17">
        <f t="shared" si="54"/>
        <v>5000</v>
      </c>
      <c r="I302" s="17">
        <v>5000</v>
      </c>
      <c r="N302" s="18">
        <v>5000</v>
      </c>
      <c r="P302" s="84">
        <f t="shared" si="50"/>
        <v>5000</v>
      </c>
      <c r="Q302" s="84">
        <v>990</v>
      </c>
      <c r="R302">
        <v>19.79</v>
      </c>
      <c r="S302" s="84"/>
      <c r="T302" s="84">
        <v>30000</v>
      </c>
      <c r="V302" s="84">
        <v>30000</v>
      </c>
    </row>
    <row r="303" spans="1:22" x14ac:dyDescent="0.35">
      <c r="A303" s="2" t="s">
        <v>351</v>
      </c>
      <c r="B303" s="2" t="s">
        <v>352</v>
      </c>
      <c r="C303" s="26">
        <v>20000</v>
      </c>
      <c r="D303" s="17">
        <v>40000</v>
      </c>
      <c r="E303" s="2" t="s">
        <v>535</v>
      </c>
      <c r="F303" s="17">
        <v>30000</v>
      </c>
      <c r="G303" s="17">
        <v>0</v>
      </c>
      <c r="H303" s="17">
        <f t="shared" si="54"/>
        <v>30000</v>
      </c>
      <c r="I303" s="17">
        <v>30000</v>
      </c>
      <c r="N303" s="29">
        <v>28000</v>
      </c>
      <c r="P303" s="84">
        <f t="shared" si="50"/>
        <v>28000</v>
      </c>
      <c r="Q303" s="84">
        <v>0</v>
      </c>
      <c r="S303" s="84"/>
      <c r="T303" s="84">
        <v>30000</v>
      </c>
      <c r="V303" s="84">
        <v>30000</v>
      </c>
    </row>
    <row r="304" spans="1:22" x14ac:dyDescent="0.35">
      <c r="A304" s="2" t="s">
        <v>353</v>
      </c>
      <c r="B304" s="2" t="s">
        <v>216</v>
      </c>
      <c r="C304" s="26">
        <v>0</v>
      </c>
      <c r="D304" s="17">
        <v>0</v>
      </c>
      <c r="F304" s="17">
        <v>0</v>
      </c>
      <c r="G304" s="17">
        <v>0</v>
      </c>
      <c r="H304" s="17">
        <f t="shared" si="54"/>
        <v>0</v>
      </c>
      <c r="I304" s="17">
        <v>0</v>
      </c>
      <c r="N304" s="18">
        <v>0</v>
      </c>
      <c r="P304" s="84">
        <f t="shared" si="50"/>
        <v>0</v>
      </c>
      <c r="Q304" s="84"/>
      <c r="S304" s="84"/>
      <c r="T304" s="84">
        <v>0</v>
      </c>
      <c r="V304" s="84">
        <v>0</v>
      </c>
    </row>
    <row r="305" spans="1:23" x14ac:dyDescent="0.35">
      <c r="A305" s="2" t="s">
        <v>354</v>
      </c>
      <c r="B305" s="2" t="s">
        <v>355</v>
      </c>
      <c r="C305" s="26">
        <v>0</v>
      </c>
      <c r="D305" s="17">
        <v>0</v>
      </c>
      <c r="F305" s="17">
        <v>0</v>
      </c>
      <c r="G305" s="17">
        <v>0</v>
      </c>
      <c r="H305" s="17">
        <f t="shared" si="54"/>
        <v>0</v>
      </c>
      <c r="I305" s="17">
        <v>0</v>
      </c>
      <c r="N305" s="18">
        <v>0</v>
      </c>
      <c r="P305" s="84">
        <f t="shared" si="50"/>
        <v>0</v>
      </c>
      <c r="Q305" s="84"/>
      <c r="S305" s="84"/>
      <c r="T305" s="84">
        <v>0</v>
      </c>
      <c r="V305" s="84">
        <v>0</v>
      </c>
    </row>
    <row r="306" spans="1:23" x14ac:dyDescent="0.35">
      <c r="A306" s="2" t="s">
        <v>356</v>
      </c>
      <c r="B306" s="2" t="s">
        <v>357</v>
      </c>
      <c r="C306" s="26">
        <v>35000</v>
      </c>
      <c r="D306" s="17">
        <v>35000</v>
      </c>
      <c r="F306" s="17">
        <v>35000</v>
      </c>
      <c r="G306" s="17">
        <v>0</v>
      </c>
      <c r="H306" s="17">
        <f t="shared" si="54"/>
        <v>35000</v>
      </c>
      <c r="I306" s="17">
        <v>35000</v>
      </c>
      <c r="N306" s="18">
        <v>35000</v>
      </c>
      <c r="P306" s="84">
        <f t="shared" si="50"/>
        <v>35000</v>
      </c>
      <c r="Q306" s="84">
        <v>21355</v>
      </c>
      <c r="R306">
        <v>60.98</v>
      </c>
      <c r="S306" s="84"/>
      <c r="T306" s="84">
        <v>15000</v>
      </c>
      <c r="U306" t="s">
        <v>774</v>
      </c>
      <c r="V306" s="84">
        <v>25000</v>
      </c>
    </row>
    <row r="307" spans="1:23" x14ac:dyDescent="0.35">
      <c r="B307" s="5" t="s">
        <v>48</v>
      </c>
      <c r="C307" s="26">
        <v>251000</v>
      </c>
      <c r="D307" s="17">
        <f>SUM(D288:D306)</f>
        <v>274500</v>
      </c>
      <c r="F307" s="17">
        <f>SUM(F288:F306)</f>
        <v>264500</v>
      </c>
      <c r="G307" s="17">
        <v>0</v>
      </c>
      <c r="H307" s="20">
        <f t="shared" si="54"/>
        <v>264500</v>
      </c>
      <c r="I307" s="20">
        <f t="shared" ref="I307:N307" si="56">SUM(I288:I306)</f>
        <v>277985</v>
      </c>
      <c r="J307" s="20">
        <f t="shared" si="56"/>
        <v>0</v>
      </c>
      <c r="K307" s="20">
        <f t="shared" si="56"/>
        <v>0</v>
      </c>
      <c r="L307" s="20">
        <f t="shared" si="56"/>
        <v>0</v>
      </c>
      <c r="M307" s="20">
        <f t="shared" si="56"/>
        <v>0</v>
      </c>
      <c r="N307" s="23">
        <f t="shared" si="56"/>
        <v>273385</v>
      </c>
      <c r="O307" s="20">
        <f>SUM(O288:O306)</f>
        <v>37000</v>
      </c>
      <c r="P307" s="88">
        <f>SUM(P288:P306)</f>
        <v>310385</v>
      </c>
      <c r="Q307" s="84">
        <f>SUM(Q288:Q306)</f>
        <v>197717.43</v>
      </c>
      <c r="S307" s="88"/>
      <c r="T307" s="88">
        <f>SUM(T288:T306)</f>
        <v>308950</v>
      </c>
      <c r="V307" s="88">
        <f>SUM(V288:V306)</f>
        <v>317460</v>
      </c>
    </row>
    <row r="308" spans="1:23" x14ac:dyDescent="0.35">
      <c r="B308" s="5"/>
      <c r="C308" s="26"/>
      <c r="P308" s="84"/>
      <c r="Q308" s="84"/>
      <c r="S308" s="84"/>
      <c r="V308" s="84"/>
    </row>
    <row r="309" spans="1:23" x14ac:dyDescent="0.35">
      <c r="A309" s="2" t="s">
        <v>358</v>
      </c>
      <c r="B309" s="2" t="s">
        <v>359</v>
      </c>
      <c r="C309" s="26">
        <v>290000</v>
      </c>
      <c r="D309" s="17">
        <v>319000</v>
      </c>
      <c r="F309" s="17">
        <v>285000</v>
      </c>
      <c r="G309" s="17">
        <v>0</v>
      </c>
      <c r="H309" s="17">
        <f t="shared" si="54"/>
        <v>285000</v>
      </c>
      <c r="I309" s="17">
        <v>285000</v>
      </c>
      <c r="N309" s="31">
        <v>292000</v>
      </c>
      <c r="P309" s="84">
        <f t="shared" si="50"/>
        <v>292000</v>
      </c>
      <c r="Q309" s="84">
        <v>184955</v>
      </c>
      <c r="R309">
        <v>63.34</v>
      </c>
      <c r="S309" s="84"/>
      <c r="T309" s="84">
        <v>312440</v>
      </c>
      <c r="V309" s="84">
        <v>312440</v>
      </c>
    </row>
    <row r="310" spans="1:23" x14ac:dyDescent="0.35">
      <c r="A310" s="2" t="s">
        <v>360</v>
      </c>
      <c r="B310" s="2" t="s">
        <v>361</v>
      </c>
      <c r="C310" s="26">
        <v>61200</v>
      </c>
      <c r="D310" s="17">
        <v>61200</v>
      </c>
      <c r="F310" s="17">
        <v>61200</v>
      </c>
      <c r="G310" s="17">
        <v>0</v>
      </c>
      <c r="H310" s="17">
        <f t="shared" si="54"/>
        <v>61200</v>
      </c>
      <c r="I310" s="17">
        <v>67300</v>
      </c>
      <c r="N310" s="29">
        <v>67105</v>
      </c>
      <c r="P310" s="84">
        <f t="shared" si="50"/>
        <v>67105</v>
      </c>
      <c r="Q310" s="84">
        <v>42756</v>
      </c>
      <c r="R310">
        <v>63.71</v>
      </c>
      <c r="S310" s="84"/>
      <c r="T310" s="84">
        <v>72475</v>
      </c>
      <c r="V310" s="84">
        <v>72475</v>
      </c>
    </row>
    <row r="311" spans="1:23" x14ac:dyDescent="0.35">
      <c r="A311" s="2" t="s">
        <v>362</v>
      </c>
      <c r="B311" s="2" t="s">
        <v>363</v>
      </c>
      <c r="C311" s="26">
        <v>32000</v>
      </c>
      <c r="D311" s="17">
        <v>160000</v>
      </c>
      <c r="F311" s="17">
        <v>160000</v>
      </c>
      <c r="G311" s="17">
        <v>0</v>
      </c>
      <c r="H311" s="17">
        <f t="shared" si="54"/>
        <v>160000</v>
      </c>
      <c r="I311" s="17">
        <v>160000</v>
      </c>
      <c r="N311" s="31">
        <v>174000</v>
      </c>
      <c r="P311" s="84">
        <f t="shared" si="50"/>
        <v>174000</v>
      </c>
      <c r="Q311" s="84">
        <v>119546</v>
      </c>
      <c r="R311">
        <v>68.7</v>
      </c>
      <c r="S311" s="84"/>
      <c r="T311" s="84">
        <v>186180</v>
      </c>
      <c r="V311" s="84">
        <v>186180</v>
      </c>
    </row>
    <row r="312" spans="1:23" x14ac:dyDescent="0.35">
      <c r="A312" s="2" t="s">
        <v>364</v>
      </c>
      <c r="B312" s="2" t="s">
        <v>365</v>
      </c>
      <c r="C312" s="26">
        <v>20000</v>
      </c>
      <c r="D312" s="17">
        <v>20000</v>
      </c>
      <c r="F312" s="17">
        <v>20000</v>
      </c>
      <c r="G312" s="17">
        <v>0</v>
      </c>
      <c r="H312" s="17">
        <f t="shared" si="54"/>
        <v>20000</v>
      </c>
      <c r="I312" s="17">
        <v>20000</v>
      </c>
      <c r="N312" s="18">
        <v>20000</v>
      </c>
      <c r="P312" s="84">
        <f t="shared" si="50"/>
        <v>20000</v>
      </c>
      <c r="Q312" s="84">
        <v>8222</v>
      </c>
      <c r="R312">
        <v>41.1</v>
      </c>
      <c r="S312" s="84"/>
      <c r="T312" s="84">
        <v>20000</v>
      </c>
      <c r="V312" s="84">
        <v>20000</v>
      </c>
    </row>
    <row r="313" spans="1:23" x14ac:dyDescent="0.35">
      <c r="A313" s="2" t="s">
        <v>366</v>
      </c>
      <c r="B313" s="2" t="s">
        <v>367</v>
      </c>
      <c r="C313" s="26">
        <v>2500</v>
      </c>
      <c r="D313" s="17">
        <v>2500</v>
      </c>
      <c r="F313" s="17">
        <v>2500</v>
      </c>
      <c r="G313" s="17">
        <v>0</v>
      </c>
      <c r="H313" s="17">
        <f t="shared" si="54"/>
        <v>2500</v>
      </c>
      <c r="I313" s="17">
        <v>2500</v>
      </c>
      <c r="N313" s="18">
        <v>2500</v>
      </c>
      <c r="P313" s="84">
        <f t="shared" si="50"/>
        <v>2500</v>
      </c>
      <c r="Q313" s="84">
        <v>500</v>
      </c>
      <c r="R313">
        <v>20</v>
      </c>
      <c r="S313" s="84"/>
      <c r="T313" s="84">
        <v>2500</v>
      </c>
      <c r="V313" s="84">
        <v>2500</v>
      </c>
    </row>
    <row r="314" spans="1:23" x14ac:dyDescent="0.35">
      <c r="A314" s="2" t="s">
        <v>368</v>
      </c>
      <c r="B314" s="2" t="s">
        <v>369</v>
      </c>
      <c r="C314" s="26">
        <v>26250</v>
      </c>
      <c r="D314" s="17">
        <v>26250</v>
      </c>
      <c r="F314" s="17">
        <v>26250</v>
      </c>
      <c r="G314" s="17">
        <v>0</v>
      </c>
      <c r="H314" s="17">
        <f t="shared" si="54"/>
        <v>26250</v>
      </c>
      <c r="I314" s="17">
        <v>32300</v>
      </c>
      <c r="N314" s="18">
        <v>32300</v>
      </c>
      <c r="P314" s="84">
        <f t="shared" si="50"/>
        <v>32300</v>
      </c>
      <c r="Q314" s="84">
        <v>15757</v>
      </c>
      <c r="R314">
        <v>61.43</v>
      </c>
      <c r="S314" s="84"/>
      <c r="T314" s="84">
        <v>32500</v>
      </c>
      <c r="V314" s="84">
        <v>32500</v>
      </c>
    </row>
    <row r="315" spans="1:23" x14ac:dyDescent="0.35">
      <c r="A315" s="2" t="s">
        <v>370</v>
      </c>
      <c r="B315" s="2" t="s">
        <v>371</v>
      </c>
      <c r="C315" s="26">
        <v>19000</v>
      </c>
      <c r="D315" s="17">
        <v>19000</v>
      </c>
      <c r="F315" s="17">
        <v>19000</v>
      </c>
      <c r="G315" s="17">
        <v>0</v>
      </c>
      <c r="H315" s="17">
        <f t="shared" si="54"/>
        <v>19000</v>
      </c>
      <c r="I315" s="17">
        <v>19000</v>
      </c>
      <c r="N315" s="18">
        <v>24334</v>
      </c>
      <c r="P315" s="84">
        <f t="shared" si="50"/>
        <v>24334</v>
      </c>
      <c r="Q315" s="84">
        <v>12850</v>
      </c>
      <c r="R315">
        <v>52.8</v>
      </c>
      <c r="S315" s="84"/>
      <c r="T315" s="84">
        <v>24334</v>
      </c>
      <c r="V315" s="84">
        <v>24334</v>
      </c>
    </row>
    <row r="316" spans="1:23" x14ac:dyDescent="0.35">
      <c r="A316" s="2" t="s">
        <v>372</v>
      </c>
      <c r="B316" s="2" t="s">
        <v>50</v>
      </c>
      <c r="C316" s="26">
        <v>12000</v>
      </c>
      <c r="D316" s="17">
        <v>12000</v>
      </c>
      <c r="F316" s="17">
        <v>12000</v>
      </c>
      <c r="G316" s="17">
        <v>0</v>
      </c>
      <c r="H316" s="17">
        <f t="shared" si="54"/>
        <v>12000</v>
      </c>
      <c r="I316" s="17">
        <v>14000</v>
      </c>
      <c r="N316" s="18">
        <v>14000</v>
      </c>
      <c r="P316" s="84">
        <f t="shared" si="50"/>
        <v>14000</v>
      </c>
      <c r="Q316" s="84">
        <v>14300</v>
      </c>
      <c r="R316">
        <v>102.14</v>
      </c>
      <c r="S316" s="84"/>
      <c r="T316" s="84">
        <v>15840</v>
      </c>
      <c r="V316" s="84">
        <v>15840</v>
      </c>
    </row>
    <row r="317" spans="1:23" x14ac:dyDescent="0.35">
      <c r="B317" s="4" t="s">
        <v>72</v>
      </c>
      <c r="C317" s="26">
        <v>462950</v>
      </c>
      <c r="D317" s="17">
        <f>SUM(D309:D316)</f>
        <v>619950</v>
      </c>
      <c r="F317" s="17">
        <f>SUM(F309:F316)</f>
        <v>585950</v>
      </c>
      <c r="G317" s="17">
        <v>0</v>
      </c>
      <c r="H317" s="20">
        <f t="shared" si="54"/>
        <v>585950</v>
      </c>
      <c r="I317" s="20">
        <f t="shared" ref="I317:N317" si="57">SUM(I309:I316)</f>
        <v>600100</v>
      </c>
      <c r="J317" s="20">
        <f t="shared" si="57"/>
        <v>0</v>
      </c>
      <c r="K317" s="20">
        <f t="shared" si="57"/>
        <v>0</v>
      </c>
      <c r="L317" s="20">
        <f t="shared" si="57"/>
        <v>0</v>
      </c>
      <c r="M317" s="20">
        <f t="shared" si="57"/>
        <v>0</v>
      </c>
      <c r="N317" s="23">
        <f t="shared" si="57"/>
        <v>626239</v>
      </c>
      <c r="O317">
        <v>0</v>
      </c>
      <c r="P317" s="88">
        <f t="shared" si="50"/>
        <v>626239</v>
      </c>
      <c r="Q317" s="84">
        <f>SUM(Q309:Q316)</f>
        <v>398886</v>
      </c>
      <c r="S317" s="88"/>
      <c r="T317" s="88">
        <f>SUM(T309:T316)</f>
        <v>666269</v>
      </c>
      <c r="V317" s="88">
        <f>SUM(V309:V316)</f>
        <v>666269</v>
      </c>
    </row>
    <row r="318" spans="1:23" x14ac:dyDescent="0.35">
      <c r="B318" s="5"/>
      <c r="C318" s="26"/>
      <c r="P318" s="84"/>
      <c r="Q318" s="84"/>
      <c r="S318" s="84"/>
      <c r="V318" s="84"/>
    </row>
    <row r="319" spans="1:23" x14ac:dyDescent="0.35">
      <c r="A319" s="2" t="s">
        <v>373</v>
      </c>
      <c r="B319" s="2" t="s">
        <v>374</v>
      </c>
      <c r="C319" s="26"/>
      <c r="I319" s="2"/>
      <c r="N319" s="34">
        <v>56000</v>
      </c>
      <c r="P319" s="84">
        <f t="shared" si="50"/>
        <v>56000</v>
      </c>
      <c r="Q319" s="84">
        <v>0</v>
      </c>
      <c r="S319" s="84"/>
      <c r="T319" s="84">
        <v>75000</v>
      </c>
      <c r="U319" t="s">
        <v>743</v>
      </c>
      <c r="V319" s="28">
        <v>50000</v>
      </c>
      <c r="W319" t="s">
        <v>814</v>
      </c>
    </row>
    <row r="320" spans="1:23" x14ac:dyDescent="0.35">
      <c r="A320" s="2" t="s">
        <v>375</v>
      </c>
      <c r="B320" s="2" t="s">
        <v>376</v>
      </c>
      <c r="C320" s="26">
        <v>0</v>
      </c>
      <c r="D320" s="17">
        <v>50000</v>
      </c>
      <c r="F320" s="17">
        <f>25000+25000</f>
        <v>50000</v>
      </c>
      <c r="G320" s="17">
        <v>0</v>
      </c>
      <c r="H320" s="17">
        <f t="shared" si="54"/>
        <v>50000</v>
      </c>
      <c r="I320" s="17">
        <v>0</v>
      </c>
      <c r="N320" s="18">
        <v>0</v>
      </c>
      <c r="P320" s="84">
        <f t="shared" si="50"/>
        <v>0</v>
      </c>
      <c r="Q320" s="84">
        <v>15526</v>
      </c>
      <c r="R320">
        <v>100</v>
      </c>
      <c r="S320" s="84"/>
      <c r="T320" s="84">
        <v>47000</v>
      </c>
      <c r="V320" s="84">
        <v>15000</v>
      </c>
      <c r="W320" t="s">
        <v>808</v>
      </c>
    </row>
    <row r="321" spans="1:23" x14ac:dyDescent="0.35">
      <c r="A321" s="2" t="s">
        <v>377</v>
      </c>
      <c r="B321" s="2" t="s">
        <v>378</v>
      </c>
      <c r="C321" s="26">
        <v>0</v>
      </c>
      <c r="D321" s="17">
        <v>0</v>
      </c>
      <c r="F321" s="17">
        <v>0</v>
      </c>
      <c r="G321" s="17">
        <v>0</v>
      </c>
      <c r="H321" s="17">
        <f t="shared" si="54"/>
        <v>0</v>
      </c>
      <c r="I321" s="17">
        <v>100000</v>
      </c>
      <c r="N321" s="18">
        <v>56000</v>
      </c>
      <c r="P321" s="84">
        <f t="shared" si="50"/>
        <v>56000</v>
      </c>
      <c r="Q321" s="84">
        <v>0</v>
      </c>
      <c r="S321" s="84"/>
      <c r="T321" s="84">
        <v>75000</v>
      </c>
      <c r="U321" t="s">
        <v>743</v>
      </c>
      <c r="V321" s="28">
        <v>50000</v>
      </c>
      <c r="W321" t="s">
        <v>814</v>
      </c>
    </row>
    <row r="322" spans="1:23" x14ac:dyDescent="0.35">
      <c r="A322" s="2" t="s">
        <v>379</v>
      </c>
      <c r="B322" s="2" t="s">
        <v>380</v>
      </c>
      <c r="C322" s="26">
        <v>0</v>
      </c>
      <c r="D322" s="17">
        <v>0</v>
      </c>
      <c r="F322" s="17">
        <v>0</v>
      </c>
      <c r="G322" s="17">
        <v>0</v>
      </c>
      <c r="H322" s="17">
        <f t="shared" si="54"/>
        <v>0</v>
      </c>
      <c r="I322" s="17">
        <v>0</v>
      </c>
      <c r="N322" s="18">
        <v>0</v>
      </c>
      <c r="P322" s="84">
        <f t="shared" si="50"/>
        <v>0</v>
      </c>
      <c r="Q322" s="84"/>
      <c r="S322" s="84"/>
      <c r="T322" s="84">
        <v>15000</v>
      </c>
      <c r="U322" t="s">
        <v>743</v>
      </c>
      <c r="V322" s="84">
        <v>15000</v>
      </c>
      <c r="W322" t="s">
        <v>815</v>
      </c>
    </row>
    <row r="323" spans="1:23" x14ac:dyDescent="0.35">
      <c r="A323" s="2" t="s">
        <v>381</v>
      </c>
      <c r="B323" s="2" t="s">
        <v>382</v>
      </c>
      <c r="C323" s="26">
        <v>20000</v>
      </c>
      <c r="D323" s="17">
        <v>20000</v>
      </c>
      <c r="E323" s="2" t="s">
        <v>536</v>
      </c>
      <c r="F323" s="17">
        <v>20000</v>
      </c>
      <c r="G323" s="17">
        <v>0</v>
      </c>
      <c r="H323" s="17">
        <f t="shared" si="54"/>
        <v>20000</v>
      </c>
      <c r="I323" s="17">
        <v>0</v>
      </c>
      <c r="N323" s="18">
        <v>0</v>
      </c>
      <c r="P323" s="84">
        <f t="shared" si="50"/>
        <v>0</v>
      </c>
      <c r="Q323" s="84"/>
      <c r="S323" s="84"/>
      <c r="T323" s="84">
        <v>20000</v>
      </c>
      <c r="U323" t="s">
        <v>773</v>
      </c>
      <c r="V323" s="84">
        <v>20000</v>
      </c>
    </row>
    <row r="324" spans="1:23" x14ac:dyDescent="0.35">
      <c r="B324" s="5" t="s">
        <v>77</v>
      </c>
      <c r="C324" s="26">
        <v>20000</v>
      </c>
      <c r="D324" s="17">
        <f>SUM(D319:D323)</f>
        <v>70000</v>
      </c>
      <c r="F324" s="17">
        <f>SUM(F319:F323)</f>
        <v>70000</v>
      </c>
      <c r="G324" s="17">
        <v>0</v>
      </c>
      <c r="H324" s="20">
        <f t="shared" si="54"/>
        <v>70000</v>
      </c>
      <c r="I324" s="20">
        <f t="shared" ref="I324:N324" si="58">SUM(I319:I323)</f>
        <v>100000</v>
      </c>
      <c r="J324" s="20">
        <f t="shared" si="58"/>
        <v>0</v>
      </c>
      <c r="K324" s="20">
        <f t="shared" si="58"/>
        <v>0</v>
      </c>
      <c r="L324" s="20">
        <f t="shared" si="58"/>
        <v>0</v>
      </c>
      <c r="M324" s="20">
        <f t="shared" si="58"/>
        <v>0</v>
      </c>
      <c r="N324" s="23">
        <f t="shared" si="58"/>
        <v>112000</v>
      </c>
      <c r="O324" s="20">
        <f>SUM(O319:O323)</f>
        <v>0</v>
      </c>
      <c r="P324" s="88">
        <f>SUM(P319:P323)</f>
        <v>112000</v>
      </c>
      <c r="Q324" s="84">
        <f>SUM(Q319:Q323)</f>
        <v>15526</v>
      </c>
      <c r="S324" s="88"/>
      <c r="T324" s="88">
        <f>SUM(T319:T323)</f>
        <v>232000</v>
      </c>
      <c r="V324" s="88">
        <f>SUM(V319:V323)</f>
        <v>150000</v>
      </c>
    </row>
    <row r="325" spans="1:23" x14ac:dyDescent="0.35">
      <c r="B325" s="5"/>
      <c r="C325" s="26"/>
      <c r="P325" s="84"/>
      <c r="Q325" s="84"/>
      <c r="S325" s="84"/>
      <c r="V325" s="84"/>
    </row>
    <row r="326" spans="1:23" x14ac:dyDescent="0.35">
      <c r="B326" s="5" t="s">
        <v>383</v>
      </c>
      <c r="C326" s="26">
        <v>1217200</v>
      </c>
      <c r="D326" s="17">
        <f>D324+D317+D307+D286</f>
        <v>2008057</v>
      </c>
      <c r="E326" s="17">
        <f>E324+E317+E307+E286</f>
        <v>0</v>
      </c>
      <c r="F326" s="20">
        <f>F324+F317+F307+F286</f>
        <v>1448249</v>
      </c>
      <c r="G326" s="17">
        <f>G324+G317+G307+G286</f>
        <v>0</v>
      </c>
      <c r="H326" s="20">
        <f t="shared" si="54"/>
        <v>1448249</v>
      </c>
      <c r="I326" s="20">
        <f t="shared" ref="I326:N326" si="59">I324+I317+I307+I286</f>
        <v>1493409.2283022907</v>
      </c>
      <c r="J326" s="20">
        <f t="shared" si="59"/>
        <v>0</v>
      </c>
      <c r="K326" s="20">
        <f t="shared" si="59"/>
        <v>0</v>
      </c>
      <c r="L326" s="20">
        <f t="shared" si="59"/>
        <v>0</v>
      </c>
      <c r="M326" s="20">
        <f t="shared" si="59"/>
        <v>0</v>
      </c>
      <c r="N326" s="23">
        <f t="shared" si="59"/>
        <v>1524257</v>
      </c>
      <c r="O326" s="20">
        <f>SUM(O324+O307+O286)</f>
        <v>63172</v>
      </c>
      <c r="P326" s="88">
        <f t="shared" si="50"/>
        <v>1587429</v>
      </c>
      <c r="Q326" s="84">
        <f>SUM(Q324+Q317+Q307+Q286)</f>
        <v>1011121.3099999999</v>
      </c>
      <c r="R326">
        <v>65</v>
      </c>
      <c r="S326" s="88"/>
      <c r="T326" s="88">
        <f>SUM(T324+T317+T307+T286)</f>
        <v>1941817</v>
      </c>
      <c r="V326" s="88">
        <f>SUM(V324+V317+V307+V286)</f>
        <v>1813224</v>
      </c>
    </row>
    <row r="327" spans="1:23" x14ac:dyDescent="0.35">
      <c r="B327" s="5"/>
      <c r="C327" s="26"/>
      <c r="P327" s="84"/>
      <c r="Q327" s="84"/>
      <c r="S327" s="84"/>
      <c r="V327" s="84"/>
    </row>
    <row r="328" spans="1:23" ht="15.5" x14ac:dyDescent="0.35">
      <c r="A328" s="10"/>
      <c r="B328" s="11" t="s">
        <v>384</v>
      </c>
      <c r="C328" s="26">
        <v>7949857</v>
      </c>
      <c r="D328" s="20">
        <f>D326+D275+D237+D192+D78+D52+D112+D148</f>
        <v>12012403.75</v>
      </c>
      <c r="E328" s="20">
        <f>E326+E275+E237+E192+E78+E52+E112+E148</f>
        <v>0</v>
      </c>
      <c r="F328" s="20">
        <f>F326+F275+F237+F192+F78+F52+F112+F148</f>
        <v>9171804.8300000001</v>
      </c>
      <c r="G328" s="20">
        <f>G326+G275+G237+G192+G78+G52+G112+G148</f>
        <v>166300</v>
      </c>
      <c r="H328" s="20">
        <f>SUM(F328+G328)</f>
        <v>9338104.8300000001</v>
      </c>
      <c r="I328" s="20">
        <f t="shared" ref="I328:N328" si="60">I326+I275+I237+I192+I148+I112+I78+I52</f>
        <v>10443073.444825331</v>
      </c>
      <c r="J328" s="20">
        <f t="shared" si="60"/>
        <v>0</v>
      </c>
      <c r="K328" s="20">
        <f t="shared" si="60"/>
        <v>0</v>
      </c>
      <c r="L328" s="20">
        <f t="shared" si="60"/>
        <v>8379377.8473999994</v>
      </c>
      <c r="M328" s="20">
        <f t="shared" si="60"/>
        <v>975250</v>
      </c>
      <c r="N328" s="23">
        <f t="shared" si="60"/>
        <v>10296807.51</v>
      </c>
      <c r="O328" s="89">
        <f>O326+O275+O237+O192+O148</f>
        <v>395491.5</v>
      </c>
      <c r="P328" s="88">
        <f t="shared" si="50"/>
        <v>10692299.01</v>
      </c>
      <c r="Q328" s="84">
        <f>SUM(Q326+Q275+Q237+Q192+Q148+Q112+Q78+Q52)</f>
        <v>6842080.540000001</v>
      </c>
      <c r="R328">
        <v>67</v>
      </c>
      <c r="S328" s="88"/>
      <c r="T328" s="88">
        <f>SUM(T326+T275+T237+T192+T148+T112+T78+T52)</f>
        <v>10964299</v>
      </c>
      <c r="V328" s="88">
        <f>SUM(V326+V275+V237+V192+V148+V112+V78+V52)</f>
        <v>10936866</v>
      </c>
    </row>
    <row r="329" spans="1:23" ht="15.5" x14ac:dyDescent="0.35">
      <c r="A329" s="10"/>
      <c r="B329" s="11"/>
      <c r="C329" s="19"/>
      <c r="O329" s="85"/>
      <c r="P329" s="84"/>
      <c r="Q329" s="84"/>
      <c r="S329" s="84"/>
      <c r="V329" s="84"/>
    </row>
    <row r="330" spans="1:23" ht="15.5" x14ac:dyDescent="0.35">
      <c r="A330" s="10"/>
      <c r="B330" s="12" t="s">
        <v>385</v>
      </c>
      <c r="C330" s="26">
        <v>7989857</v>
      </c>
      <c r="D330" s="35"/>
      <c r="F330" s="20">
        <f>[1]Revenues!E47</f>
        <v>8335857</v>
      </c>
      <c r="G330" s="20">
        <f>[1]Revenues!F47</f>
        <v>0</v>
      </c>
      <c r="H330" s="20">
        <f>[1]Revenues!G47</f>
        <v>9459304.8295000009</v>
      </c>
      <c r="I330" s="36">
        <f>[1]Revenues!$M$47</f>
        <v>10296807.5</v>
      </c>
      <c r="J330" s="36" t="e">
        <f>[1]Revenues!#REF!</f>
        <v>#REF!</v>
      </c>
      <c r="K330" s="36" t="e">
        <f>[1]Revenues!#REF!</f>
        <v>#REF!</v>
      </c>
      <c r="L330" s="36" t="e">
        <f>[1]Revenues!#REF!</f>
        <v>#REF!</v>
      </c>
      <c r="M330" s="36" t="e">
        <f>[1]Revenues!#REF!</f>
        <v>#REF!</v>
      </c>
      <c r="N330" s="37">
        <f>[1]Revenues!$M$47</f>
        <v>10296807.5</v>
      </c>
      <c r="O330" s="85">
        <f>O328+O277+O239+O194+O150</f>
        <v>395491.5</v>
      </c>
      <c r="P330" s="84">
        <f>Revenues!P47</f>
        <v>11223616</v>
      </c>
      <c r="Q330" s="84"/>
      <c r="S330" s="84"/>
      <c r="T330" s="84">
        <f>Revenues!U47</f>
        <v>10936866.204165</v>
      </c>
      <c r="V330" s="88">
        <f>Revenues!U47</f>
        <v>10936866.204165</v>
      </c>
    </row>
    <row r="331" spans="1:23" ht="15.5" x14ac:dyDescent="0.35">
      <c r="A331" s="10"/>
      <c r="B331" s="12" t="s">
        <v>386</v>
      </c>
      <c r="C331" s="26">
        <v>7949857</v>
      </c>
      <c r="D331" s="26"/>
      <c r="F331" s="20">
        <f t="shared" ref="F331:O331" si="61">F328</f>
        <v>9171804.8300000001</v>
      </c>
      <c r="G331" s="20">
        <f t="shared" si="61"/>
        <v>166300</v>
      </c>
      <c r="H331" s="20">
        <f t="shared" si="61"/>
        <v>9338104.8300000001</v>
      </c>
      <c r="I331" s="20">
        <f t="shared" si="61"/>
        <v>10443073.444825331</v>
      </c>
      <c r="J331" s="20">
        <f t="shared" si="61"/>
        <v>0</v>
      </c>
      <c r="K331" s="20">
        <f t="shared" si="61"/>
        <v>0</v>
      </c>
      <c r="L331" s="20">
        <f t="shared" si="61"/>
        <v>8379377.8473999994</v>
      </c>
      <c r="M331" s="20">
        <f t="shared" si="61"/>
        <v>975250</v>
      </c>
      <c r="N331" s="23">
        <f t="shared" si="61"/>
        <v>10296807.51</v>
      </c>
      <c r="O331" s="85">
        <f t="shared" si="61"/>
        <v>395491.5</v>
      </c>
      <c r="P331" s="84">
        <f t="shared" ref="P331:P401" si="62">N331+O331</f>
        <v>10692299.01</v>
      </c>
      <c r="Q331" s="84"/>
      <c r="S331" s="84"/>
      <c r="T331" s="88">
        <f>T328</f>
        <v>10964299</v>
      </c>
      <c r="V331" s="88">
        <f>V328</f>
        <v>10936866</v>
      </c>
    </row>
    <row r="332" spans="1:23" ht="15.5" x14ac:dyDescent="0.35">
      <c r="A332" s="10"/>
      <c r="B332" s="11" t="s">
        <v>387</v>
      </c>
      <c r="C332" s="26">
        <v>40000</v>
      </c>
      <c r="D332" s="26"/>
      <c r="E332" s="26">
        <f>SUM(D332:D332)</f>
        <v>0</v>
      </c>
      <c r="F332" s="38">
        <f>F330-F331</f>
        <v>-835947.83000000007</v>
      </c>
      <c r="G332" s="38">
        <f t="shared" ref="G332:N332" si="63">G330-G331</f>
        <v>-166300</v>
      </c>
      <c r="H332" s="38">
        <f t="shared" si="63"/>
        <v>121199.99950000085</v>
      </c>
      <c r="I332" s="38">
        <f t="shared" si="63"/>
        <v>-146265.94482533075</v>
      </c>
      <c r="J332" s="38" t="e">
        <f t="shared" si="63"/>
        <v>#REF!</v>
      </c>
      <c r="K332" s="38" t="e">
        <f t="shared" si="63"/>
        <v>#REF!</v>
      </c>
      <c r="L332" s="38" t="e">
        <f t="shared" si="63"/>
        <v>#REF!</v>
      </c>
      <c r="M332" s="38" t="e">
        <f t="shared" si="63"/>
        <v>#REF!</v>
      </c>
      <c r="N332" s="18">
        <f t="shared" si="63"/>
        <v>-9.9999997764825821E-3</v>
      </c>
      <c r="O332" s="85">
        <f>O330-O331</f>
        <v>0</v>
      </c>
      <c r="P332" s="84">
        <f>P330-P331</f>
        <v>531316.99000000022</v>
      </c>
      <c r="Q332" s="84"/>
      <c r="S332" s="84"/>
      <c r="T332" s="84">
        <f>T330-T331</f>
        <v>-27432.795834999532</v>
      </c>
      <c r="V332" s="84">
        <f>V330-V331</f>
        <v>0.20416500046849251</v>
      </c>
    </row>
    <row r="333" spans="1:23" ht="15.5" x14ac:dyDescent="0.35">
      <c r="A333" s="10"/>
      <c r="B333" s="11"/>
      <c r="C333" s="26"/>
      <c r="D333" s="26"/>
      <c r="E333" s="26"/>
      <c r="F333" s="38"/>
      <c r="G333" s="38"/>
      <c r="H333" s="38"/>
      <c r="I333" s="38"/>
      <c r="J333" s="38"/>
      <c r="K333" s="38"/>
      <c r="L333" s="38"/>
      <c r="M333" s="38"/>
      <c r="O333" s="85"/>
      <c r="P333" s="84"/>
      <c r="Q333" s="84"/>
      <c r="S333" s="84"/>
      <c r="V333" s="84"/>
    </row>
    <row r="334" spans="1:23" ht="15.5" x14ac:dyDescent="0.35">
      <c r="A334" s="10"/>
      <c r="B334" s="11"/>
      <c r="C334" s="26"/>
      <c r="D334" s="26"/>
      <c r="E334" s="26"/>
      <c r="F334" s="38"/>
      <c r="G334" s="38"/>
      <c r="H334" s="38"/>
      <c r="I334" s="38"/>
      <c r="J334" s="38"/>
      <c r="K334" s="38"/>
      <c r="L334" s="38"/>
      <c r="M334" s="38"/>
      <c r="O334" s="85"/>
      <c r="P334" s="84"/>
      <c r="Q334" s="84"/>
      <c r="S334" s="84"/>
      <c r="V334" s="84"/>
    </row>
    <row r="335" spans="1:23" ht="18.5" x14ac:dyDescent="0.45">
      <c r="A335" s="69" t="s">
        <v>791</v>
      </c>
      <c r="B335" s="11"/>
      <c r="C335" s="64"/>
      <c r="D335" s="64"/>
      <c r="E335" s="45"/>
      <c r="F335" s="64"/>
      <c r="G335" s="65"/>
      <c r="H335" s="65"/>
      <c r="I335" s="65"/>
      <c r="J335" s="65"/>
      <c r="K335" s="66"/>
      <c r="L335"/>
      <c r="M335" s="67"/>
      <c r="N335"/>
      <c r="P335" s="86"/>
      <c r="R335" s="84"/>
      <c r="S335" s="84"/>
      <c r="T335"/>
      <c r="U335" s="92"/>
    </row>
    <row r="336" spans="1:23" ht="18.5" x14ac:dyDescent="0.45">
      <c r="A336"/>
      <c r="B336" s="6" t="s">
        <v>794</v>
      </c>
      <c r="C336" s="64"/>
      <c r="D336" s="64"/>
      <c r="E336" s="45"/>
      <c r="F336" s="64"/>
      <c r="G336" s="65"/>
      <c r="H336" s="65"/>
      <c r="I336" s="65"/>
      <c r="J336" s="65"/>
      <c r="K336" s="66"/>
      <c r="L336"/>
      <c r="M336" s="67"/>
      <c r="N336"/>
      <c r="P336" s="86"/>
      <c r="R336" s="84"/>
      <c r="S336" s="84"/>
      <c r="T336"/>
      <c r="V336" s="92">
        <v>20000</v>
      </c>
      <c r="W336" s="98"/>
    </row>
    <row r="337" spans="1:22" ht="18.5" x14ac:dyDescent="0.45">
      <c r="A337"/>
      <c r="B337" s="6" t="s">
        <v>793</v>
      </c>
      <c r="C337" s="64"/>
      <c r="D337" s="64"/>
      <c r="E337" s="45"/>
      <c r="F337" s="64"/>
      <c r="G337" s="65"/>
      <c r="H337" s="65"/>
      <c r="I337" s="65"/>
      <c r="J337" s="65"/>
      <c r="K337" s="66"/>
      <c r="L337"/>
      <c r="M337" s="67"/>
      <c r="N337"/>
      <c r="P337" s="86"/>
      <c r="R337" s="84"/>
      <c r="S337" s="84"/>
      <c r="T337"/>
      <c r="U337" s="92"/>
      <c r="V337">
        <v>36000</v>
      </c>
    </row>
    <row r="338" spans="1:22" ht="18.5" x14ac:dyDescent="0.45">
      <c r="B338" s="69" t="s">
        <v>797</v>
      </c>
      <c r="C338" s="64"/>
      <c r="D338" s="64"/>
      <c r="E338" s="45"/>
      <c r="F338" s="64"/>
      <c r="G338" s="65"/>
      <c r="H338" s="65"/>
      <c r="I338" s="65"/>
      <c r="J338" s="65"/>
      <c r="K338" s="66"/>
      <c r="L338"/>
      <c r="M338" s="67"/>
      <c r="N338"/>
      <c r="P338" s="86"/>
      <c r="R338" s="84"/>
      <c r="S338" s="84"/>
      <c r="T338"/>
      <c r="V338" s="105">
        <f>SUM(V336:V337)</f>
        <v>56000</v>
      </c>
    </row>
    <row r="339" spans="1:22" ht="18.5" x14ac:dyDescent="0.45">
      <c r="B339" s="69" t="s">
        <v>798</v>
      </c>
      <c r="C339" s="64"/>
      <c r="D339" s="64"/>
      <c r="E339" s="45"/>
      <c r="F339" s="64"/>
      <c r="G339" s="65"/>
      <c r="H339" s="65"/>
      <c r="I339" s="65"/>
      <c r="J339" s="65"/>
      <c r="K339" s="66"/>
      <c r="L339"/>
      <c r="M339" s="67"/>
      <c r="N339"/>
      <c r="P339" s="86"/>
      <c r="R339" s="84"/>
      <c r="S339" s="84"/>
      <c r="T339"/>
      <c r="V339" s="105">
        <f>Revenues!U55</f>
        <v>56000</v>
      </c>
    </row>
    <row r="340" spans="1:22" ht="18.5" x14ac:dyDescent="0.45">
      <c r="B340" s="69"/>
      <c r="C340" s="64"/>
      <c r="D340" s="64"/>
      <c r="E340" s="45"/>
      <c r="F340" s="64"/>
      <c r="G340" s="65"/>
      <c r="H340" s="65"/>
      <c r="I340" s="65"/>
      <c r="J340" s="65"/>
      <c r="K340" s="66"/>
      <c r="L340"/>
      <c r="M340" s="67"/>
      <c r="N340"/>
      <c r="P340" s="86"/>
      <c r="R340" s="84"/>
      <c r="S340" s="84"/>
      <c r="T340"/>
      <c r="V340" s="105"/>
    </row>
    <row r="341" spans="1:22" ht="15.5" x14ac:dyDescent="0.35">
      <c r="A341" s="10"/>
      <c r="B341" s="11" t="s">
        <v>387</v>
      </c>
      <c r="C341" s="26"/>
      <c r="P341" s="84"/>
      <c r="Q341" s="84"/>
      <c r="S341" s="84"/>
      <c r="V341" s="92">
        <f>V339-V338</f>
        <v>0</v>
      </c>
    </row>
    <row r="342" spans="1:22" x14ac:dyDescent="0.35">
      <c r="B342" s="5"/>
      <c r="C342" s="26"/>
      <c r="P342" s="84"/>
      <c r="Q342" s="84"/>
      <c r="S342" s="84"/>
    </row>
    <row r="343" spans="1:22" x14ac:dyDescent="0.35">
      <c r="A343" s="3" t="s">
        <v>388</v>
      </c>
      <c r="B343" s="5"/>
      <c r="C343" s="26"/>
      <c r="E343" s="19" t="s">
        <v>508</v>
      </c>
      <c r="P343" s="84"/>
      <c r="Q343" s="84"/>
      <c r="S343" s="84"/>
    </row>
    <row r="344" spans="1:22" x14ac:dyDescent="0.35">
      <c r="A344" s="2" t="s">
        <v>389</v>
      </c>
      <c r="B344" s="2" t="s">
        <v>390</v>
      </c>
      <c r="C344" s="26">
        <v>55000</v>
      </c>
      <c r="D344" s="17">
        <v>0</v>
      </c>
      <c r="E344" s="33" t="s">
        <v>537</v>
      </c>
      <c r="F344" s="17">
        <v>25000</v>
      </c>
      <c r="G344" s="17">
        <v>0</v>
      </c>
      <c r="H344" s="17">
        <f>SUM(F344:G344)</f>
        <v>25000</v>
      </c>
      <c r="I344" s="17">
        <v>15000</v>
      </c>
      <c r="N344" s="18">
        <v>15000</v>
      </c>
      <c r="O344" s="84"/>
      <c r="P344" s="84">
        <f t="shared" si="62"/>
        <v>15000</v>
      </c>
      <c r="Q344" s="84">
        <v>20861</v>
      </c>
      <c r="S344" s="84"/>
      <c r="T344" s="84">
        <v>25000</v>
      </c>
      <c r="V344" s="84">
        <v>25000</v>
      </c>
    </row>
    <row r="345" spans="1:22" x14ac:dyDescent="0.35">
      <c r="A345" s="2" t="s">
        <v>391</v>
      </c>
      <c r="B345" s="2" t="s">
        <v>392</v>
      </c>
      <c r="C345" s="26">
        <v>10000</v>
      </c>
      <c r="D345" s="17">
        <v>15000</v>
      </c>
      <c r="F345" s="17">
        <v>15000</v>
      </c>
      <c r="G345" s="17">
        <v>0</v>
      </c>
      <c r="H345" s="17">
        <f>SUM(F345:G345)</f>
        <v>15000</v>
      </c>
      <c r="I345" s="17">
        <v>20000</v>
      </c>
      <c r="N345" s="18">
        <v>20000</v>
      </c>
      <c r="O345" s="84"/>
      <c r="P345" s="84">
        <f t="shared" si="62"/>
        <v>20000</v>
      </c>
      <c r="Q345" s="84">
        <v>6081</v>
      </c>
      <c r="S345" s="84"/>
      <c r="T345" s="84">
        <v>20000</v>
      </c>
      <c r="V345" s="84">
        <v>20000</v>
      </c>
    </row>
    <row r="346" spans="1:22" x14ac:dyDescent="0.35">
      <c r="B346" s="4" t="s">
        <v>393</v>
      </c>
      <c r="C346" s="26">
        <v>65000</v>
      </c>
      <c r="D346" s="17">
        <f>SUM(D344:D345)</f>
        <v>15000</v>
      </c>
      <c r="F346" s="17">
        <f>SUM(F344:F345)</f>
        <v>40000</v>
      </c>
      <c r="G346" s="17">
        <v>0</v>
      </c>
      <c r="H346" s="17">
        <f>SUM(F346:G346)</f>
        <v>40000</v>
      </c>
      <c r="I346" s="17">
        <f t="shared" ref="I346:N346" si="64">SUM(I344:I345)</f>
        <v>35000</v>
      </c>
      <c r="J346" s="17">
        <f t="shared" si="64"/>
        <v>0</v>
      </c>
      <c r="K346" s="17">
        <f t="shared" si="64"/>
        <v>0</v>
      </c>
      <c r="L346" s="17">
        <f t="shared" si="64"/>
        <v>0</v>
      </c>
      <c r="M346" s="17">
        <f t="shared" si="64"/>
        <v>0</v>
      </c>
      <c r="N346" s="17">
        <f t="shared" si="64"/>
        <v>35000</v>
      </c>
      <c r="O346" s="84"/>
      <c r="P346" s="88">
        <f t="shared" si="62"/>
        <v>35000</v>
      </c>
      <c r="Q346" s="84">
        <f>SUM(Q344:Q345)</f>
        <v>26942</v>
      </c>
      <c r="S346" s="88"/>
      <c r="T346" s="88">
        <f>SUM(T344:T345)</f>
        <v>45000</v>
      </c>
      <c r="V346" s="88">
        <f>SUM(V344:V345)</f>
        <v>45000</v>
      </c>
    </row>
    <row r="347" spans="1:22" x14ac:dyDescent="0.35">
      <c r="B347" s="4"/>
      <c r="C347" s="26"/>
      <c r="J347" s="17"/>
      <c r="K347" s="17"/>
      <c r="L347" s="17"/>
      <c r="M347" s="17"/>
      <c r="N347" s="17"/>
      <c r="O347" s="84"/>
      <c r="P347" s="84"/>
      <c r="Q347" s="84"/>
      <c r="S347" s="84"/>
      <c r="V347" s="84"/>
    </row>
    <row r="348" spans="1:22" ht="15.5" x14ac:dyDescent="0.35">
      <c r="A348" s="13" t="s">
        <v>394</v>
      </c>
      <c r="B348" s="4"/>
      <c r="C348" s="26"/>
      <c r="N348" s="23">
        <v>35000</v>
      </c>
      <c r="O348" s="84"/>
      <c r="P348" s="88">
        <f t="shared" si="62"/>
        <v>35000</v>
      </c>
      <c r="Q348" s="84"/>
      <c r="S348" s="88"/>
      <c r="T348" s="88">
        <f>Revenues!U62</f>
        <v>45000</v>
      </c>
      <c r="V348" s="88">
        <f>Revenues!U62</f>
        <v>45000</v>
      </c>
    </row>
    <row r="349" spans="1:22" ht="15.5" x14ac:dyDescent="0.35">
      <c r="A349" s="13" t="s">
        <v>395</v>
      </c>
      <c r="B349" s="14"/>
      <c r="C349" s="26">
        <v>65000</v>
      </c>
      <c r="D349" s="17">
        <f>D346</f>
        <v>15000</v>
      </c>
      <c r="E349" s="17">
        <f>E346</f>
        <v>0</v>
      </c>
      <c r="F349" s="20">
        <f>F346</f>
        <v>40000</v>
      </c>
      <c r="G349" s="17">
        <f>G346</f>
        <v>0</v>
      </c>
      <c r="H349" s="20">
        <f>SUM(F349:G349)</f>
        <v>40000</v>
      </c>
      <c r="N349" s="23">
        <f>SUM(N346)</f>
        <v>35000</v>
      </c>
      <c r="O349" s="84"/>
      <c r="P349" s="88">
        <f t="shared" si="62"/>
        <v>35000</v>
      </c>
      <c r="Q349" s="84">
        <f>Q346</f>
        <v>26942</v>
      </c>
      <c r="S349" s="88"/>
      <c r="T349" s="88">
        <f>T346</f>
        <v>45000</v>
      </c>
      <c r="V349" s="88">
        <f>V346</f>
        <v>45000</v>
      </c>
    </row>
    <row r="350" spans="1:22" x14ac:dyDescent="0.35">
      <c r="B350" s="4"/>
      <c r="C350" s="26"/>
      <c r="P350" s="84"/>
      <c r="Q350" s="84"/>
      <c r="S350" s="84"/>
      <c r="V350" s="84"/>
    </row>
    <row r="351" spans="1:22" x14ac:dyDescent="0.35">
      <c r="A351" s="2" t="s">
        <v>387</v>
      </c>
      <c r="B351" s="4"/>
      <c r="C351" s="26"/>
      <c r="N351" s="18">
        <f>N348-N349</f>
        <v>0</v>
      </c>
      <c r="P351" s="84"/>
      <c r="Q351" s="84"/>
      <c r="S351" s="84"/>
      <c r="T351" s="84">
        <f>T348-T349</f>
        <v>0</v>
      </c>
      <c r="V351" s="84">
        <f>V348-V349</f>
        <v>0</v>
      </c>
    </row>
    <row r="352" spans="1:22" x14ac:dyDescent="0.35">
      <c r="B352" s="4"/>
      <c r="C352" s="26"/>
      <c r="P352" s="84"/>
      <c r="Q352" s="84"/>
      <c r="S352" s="84"/>
      <c r="V352" s="84"/>
    </row>
    <row r="353" spans="1:22" x14ac:dyDescent="0.35">
      <c r="A353" s="3" t="s">
        <v>396</v>
      </c>
      <c r="B353" s="5"/>
      <c r="C353" s="26">
        <v>0</v>
      </c>
      <c r="E353" s="19" t="s">
        <v>508</v>
      </c>
      <c r="O353" s="49"/>
      <c r="P353" s="84"/>
      <c r="Q353" s="84"/>
      <c r="S353" s="84"/>
      <c r="V353" s="84"/>
    </row>
    <row r="354" spans="1:22" x14ac:dyDescent="0.35">
      <c r="A354" s="2" t="s">
        <v>397</v>
      </c>
      <c r="B354" s="2" t="s">
        <v>398</v>
      </c>
      <c r="C354" s="26">
        <v>1000</v>
      </c>
      <c r="D354" s="17">
        <v>0</v>
      </c>
      <c r="F354" s="17">
        <v>0</v>
      </c>
      <c r="G354" s="17">
        <v>0</v>
      </c>
      <c r="H354" s="17">
        <f>SUM(F354:G354)</f>
        <v>0</v>
      </c>
      <c r="I354" s="17">
        <v>0</v>
      </c>
      <c r="N354" s="18">
        <v>0</v>
      </c>
      <c r="O354" s="49"/>
      <c r="P354" s="84">
        <f t="shared" si="62"/>
        <v>0</v>
      </c>
      <c r="Q354" s="84"/>
      <c r="S354" s="84"/>
      <c r="T354" s="84">
        <v>0</v>
      </c>
      <c r="V354" s="84">
        <v>0</v>
      </c>
    </row>
    <row r="355" spans="1:22" x14ac:dyDescent="0.35">
      <c r="B355" s="4" t="s">
        <v>393</v>
      </c>
      <c r="C355" s="26">
        <v>1000</v>
      </c>
      <c r="D355" s="17">
        <f>SUM(D354)</f>
        <v>0</v>
      </c>
      <c r="F355" s="20">
        <f>SUM(F354)</f>
        <v>0</v>
      </c>
      <c r="G355" s="17">
        <v>0</v>
      </c>
      <c r="H355" s="20">
        <f>SUM(F355:G355)</f>
        <v>0</v>
      </c>
      <c r="I355" s="20">
        <f>SUM(H355:H355)</f>
        <v>0</v>
      </c>
      <c r="N355" s="18">
        <f>SUM(N354)</f>
        <v>0</v>
      </c>
      <c r="O355" s="49"/>
      <c r="P355" s="84">
        <f t="shared" si="62"/>
        <v>0</v>
      </c>
      <c r="Q355" s="84"/>
      <c r="S355" s="84"/>
      <c r="T355" s="84">
        <v>0</v>
      </c>
      <c r="V355" s="84">
        <v>0</v>
      </c>
    </row>
    <row r="356" spans="1:22" x14ac:dyDescent="0.35">
      <c r="B356" s="4"/>
      <c r="C356" s="26"/>
      <c r="O356" s="49"/>
      <c r="P356" s="84"/>
      <c r="Q356" s="84"/>
      <c r="S356" s="84"/>
      <c r="V356" s="84"/>
    </row>
    <row r="357" spans="1:22" ht="15.5" x14ac:dyDescent="0.35">
      <c r="A357" s="13"/>
      <c r="B357" s="11" t="s">
        <v>396</v>
      </c>
      <c r="C357" s="26">
        <v>1000</v>
      </c>
      <c r="D357" s="17">
        <f>D355</f>
        <v>0</v>
      </c>
      <c r="E357" s="17">
        <f>E355</f>
        <v>0</v>
      </c>
      <c r="F357" s="20">
        <f>F355</f>
        <v>0</v>
      </c>
      <c r="G357" s="17">
        <f>SUM(G354:G356)</f>
        <v>0</v>
      </c>
      <c r="H357" s="20">
        <f>SUM(H355)</f>
        <v>0</v>
      </c>
      <c r="I357" s="20">
        <f>SUM(I354:I356)</f>
        <v>0</v>
      </c>
      <c r="N357" s="23">
        <f>SUM(N355:N356)</f>
        <v>0</v>
      </c>
      <c r="O357" s="49">
        <f>SUM(C357:N357)</f>
        <v>1000</v>
      </c>
      <c r="P357" s="84">
        <f t="shared" si="62"/>
        <v>1000</v>
      </c>
      <c r="Q357" s="88">
        <v>0</v>
      </c>
      <c r="R357" s="100"/>
      <c r="S357" s="84"/>
      <c r="T357" s="88">
        <f>SUM(T354:T356)</f>
        <v>0</v>
      </c>
      <c r="U357" s="100"/>
      <c r="V357" s="88">
        <f>SUM(V354:V356)</f>
        <v>0</v>
      </c>
    </row>
    <row r="358" spans="1:22" ht="15.5" x14ac:dyDescent="0.35">
      <c r="A358" s="13"/>
      <c r="B358" s="14"/>
      <c r="C358" s="26"/>
      <c r="P358" s="84"/>
      <c r="Q358" s="84"/>
      <c r="S358" s="84"/>
      <c r="V358" s="84"/>
    </row>
    <row r="359" spans="1:22" x14ac:dyDescent="0.35">
      <c r="C359" s="26"/>
      <c r="P359" s="84"/>
      <c r="Q359" s="84"/>
      <c r="S359" s="84"/>
      <c r="V359" s="84"/>
    </row>
    <row r="360" spans="1:22" ht="15.5" x14ac:dyDescent="0.35">
      <c r="A360" s="13" t="s">
        <v>399</v>
      </c>
      <c r="C360" s="26"/>
      <c r="E360" s="19" t="s">
        <v>508</v>
      </c>
      <c r="P360" s="84"/>
      <c r="Q360" s="84"/>
      <c r="S360" s="84"/>
      <c r="V360" s="84"/>
    </row>
    <row r="361" spans="1:22" x14ac:dyDescent="0.35">
      <c r="A361" s="2" t="s">
        <v>400</v>
      </c>
      <c r="B361" s="2" t="s">
        <v>153</v>
      </c>
      <c r="C361" s="26">
        <v>10000</v>
      </c>
      <c r="D361" s="17">
        <v>1000</v>
      </c>
      <c r="F361" s="17">
        <v>20000</v>
      </c>
      <c r="G361" s="17">
        <v>0</v>
      </c>
      <c r="H361" s="17">
        <f>SUM(F361:G361)</f>
        <v>20000</v>
      </c>
      <c r="I361" s="17">
        <v>20000</v>
      </c>
      <c r="N361" s="18">
        <v>20000</v>
      </c>
      <c r="O361" s="84"/>
      <c r="P361" s="84">
        <f t="shared" si="62"/>
        <v>20000</v>
      </c>
      <c r="Q361" s="84">
        <v>10000</v>
      </c>
      <c r="R361">
        <v>50</v>
      </c>
      <c r="S361" s="84"/>
      <c r="T361" s="84">
        <v>20000</v>
      </c>
      <c r="V361" s="84">
        <v>20000</v>
      </c>
    </row>
    <row r="362" spans="1:22" x14ac:dyDescent="0.35">
      <c r="A362" s="2" t="s">
        <v>406</v>
      </c>
      <c r="B362" s="2" t="s">
        <v>331</v>
      </c>
      <c r="C362" s="26">
        <v>3750</v>
      </c>
      <c r="D362" s="17">
        <v>3750</v>
      </c>
      <c r="F362" s="17">
        <v>3750</v>
      </c>
      <c r="G362" s="17">
        <v>0</v>
      </c>
      <c r="H362" s="17">
        <f>SUM(F362:G362)</f>
        <v>3750</v>
      </c>
      <c r="I362" s="17">
        <v>4125</v>
      </c>
      <c r="N362" s="18">
        <v>4125</v>
      </c>
      <c r="O362" s="84"/>
      <c r="P362" s="84">
        <f>N362+O362</f>
        <v>4125</v>
      </c>
      <c r="Q362" s="84">
        <v>1747</v>
      </c>
      <c r="S362" s="84"/>
      <c r="T362" s="84">
        <v>2200</v>
      </c>
      <c r="V362" s="84">
        <v>2200</v>
      </c>
    </row>
    <row r="363" spans="1:22" x14ac:dyDescent="0.35">
      <c r="A363" s="2" t="s">
        <v>401</v>
      </c>
      <c r="B363" s="2" t="s">
        <v>402</v>
      </c>
      <c r="C363" s="26">
        <v>0</v>
      </c>
      <c r="D363" s="17">
        <v>0</v>
      </c>
      <c r="F363" s="17">
        <v>0</v>
      </c>
      <c r="G363" s="17">
        <v>0</v>
      </c>
      <c r="H363" s="17">
        <f t="shared" ref="H363:H373" si="65">SUM(F363:G363)</f>
        <v>0</v>
      </c>
      <c r="I363" s="17">
        <v>0</v>
      </c>
      <c r="N363" s="18">
        <v>0</v>
      </c>
      <c r="O363" s="84"/>
      <c r="P363" s="84">
        <f t="shared" si="62"/>
        <v>0</v>
      </c>
      <c r="Q363" s="84"/>
      <c r="S363" s="84"/>
      <c r="V363" s="84"/>
    </row>
    <row r="364" spans="1:22" x14ac:dyDescent="0.35">
      <c r="A364" s="2" t="s">
        <v>403</v>
      </c>
      <c r="B364" s="2" t="s">
        <v>19</v>
      </c>
      <c r="C364" s="26">
        <v>2500</v>
      </c>
      <c r="D364" s="17">
        <v>2500</v>
      </c>
      <c r="F364" s="17">
        <v>2500</v>
      </c>
      <c r="G364" s="17">
        <v>0</v>
      </c>
      <c r="H364" s="17">
        <f t="shared" si="65"/>
        <v>2500</v>
      </c>
      <c r="I364" s="17">
        <v>2500</v>
      </c>
      <c r="N364" s="18">
        <v>2500</v>
      </c>
      <c r="O364" s="84"/>
      <c r="P364" s="84">
        <f t="shared" si="62"/>
        <v>2500</v>
      </c>
      <c r="Q364" s="84">
        <v>0</v>
      </c>
      <c r="S364" s="84"/>
      <c r="T364" s="84">
        <v>2500</v>
      </c>
      <c r="V364" s="84">
        <v>2500</v>
      </c>
    </row>
    <row r="365" spans="1:22" x14ac:dyDescent="0.35">
      <c r="A365" s="2" t="s">
        <v>404</v>
      </c>
      <c r="B365" s="2" t="s">
        <v>210</v>
      </c>
      <c r="C365" s="26">
        <v>6000</v>
      </c>
      <c r="D365" s="17">
        <v>6000</v>
      </c>
      <c r="F365" s="17">
        <v>6000</v>
      </c>
      <c r="G365" s="17">
        <v>0</v>
      </c>
      <c r="H365" s="17">
        <f t="shared" si="65"/>
        <v>6000</v>
      </c>
      <c r="I365" s="17">
        <v>6000</v>
      </c>
      <c r="N365" s="18">
        <v>6000</v>
      </c>
      <c r="O365" s="84"/>
      <c r="P365" s="84">
        <f t="shared" si="62"/>
        <v>6000</v>
      </c>
      <c r="Q365" s="84">
        <v>0</v>
      </c>
      <c r="S365" s="84"/>
      <c r="T365" s="84">
        <v>6000</v>
      </c>
      <c r="V365" s="84">
        <v>6000</v>
      </c>
    </row>
    <row r="366" spans="1:22" x14ac:dyDescent="0.35">
      <c r="A366" s="2" t="s">
        <v>405</v>
      </c>
      <c r="B366" s="2" t="s">
        <v>212</v>
      </c>
      <c r="C366" s="26">
        <v>3000</v>
      </c>
      <c r="D366" s="17">
        <v>3000</v>
      </c>
      <c r="F366" s="17">
        <v>3000</v>
      </c>
      <c r="G366" s="17">
        <v>0</v>
      </c>
      <c r="H366" s="17">
        <f t="shared" si="65"/>
        <v>3000</v>
      </c>
      <c r="I366" s="17">
        <v>3000</v>
      </c>
      <c r="N366" s="18">
        <v>3000</v>
      </c>
      <c r="O366" s="84"/>
      <c r="P366" s="84">
        <f t="shared" si="62"/>
        <v>3000</v>
      </c>
      <c r="Q366" s="84">
        <v>0</v>
      </c>
      <c r="S366" s="84"/>
      <c r="T366" s="84">
        <v>3000</v>
      </c>
      <c r="V366" s="84">
        <v>3000</v>
      </c>
    </row>
    <row r="367" spans="1:22" x14ac:dyDescent="0.35">
      <c r="A367" s="2" t="s">
        <v>407</v>
      </c>
      <c r="B367" s="2" t="s">
        <v>408</v>
      </c>
      <c r="C367" s="26">
        <v>10000</v>
      </c>
      <c r="D367" s="17">
        <v>10000</v>
      </c>
      <c r="F367" s="17">
        <v>10000</v>
      </c>
      <c r="G367" s="17">
        <v>0</v>
      </c>
      <c r="H367" s="17">
        <f t="shared" si="65"/>
        <v>10000</v>
      </c>
      <c r="I367" s="17">
        <v>10000</v>
      </c>
      <c r="N367" s="18">
        <v>10000</v>
      </c>
      <c r="O367" s="84"/>
      <c r="P367" s="84">
        <f t="shared" si="62"/>
        <v>10000</v>
      </c>
      <c r="Q367" s="84">
        <v>0</v>
      </c>
      <c r="S367" s="84"/>
      <c r="T367" s="84">
        <v>10000</v>
      </c>
      <c r="V367" s="84">
        <v>10000</v>
      </c>
    </row>
    <row r="368" spans="1:22" x14ac:dyDescent="0.35">
      <c r="A368" s="2" t="s">
        <v>409</v>
      </c>
      <c r="B368" s="2" t="s">
        <v>348</v>
      </c>
      <c r="C368" s="26">
        <v>20000</v>
      </c>
      <c r="D368" s="17">
        <v>20000</v>
      </c>
      <c r="F368" s="17">
        <v>20000</v>
      </c>
      <c r="G368" s="17">
        <v>0</v>
      </c>
      <c r="H368" s="17">
        <f t="shared" si="65"/>
        <v>20000</v>
      </c>
      <c r="I368" s="17">
        <v>0</v>
      </c>
      <c r="N368" s="18">
        <v>0</v>
      </c>
      <c r="O368" s="84"/>
      <c r="P368" s="84">
        <f t="shared" si="62"/>
        <v>0</v>
      </c>
      <c r="Q368" s="84">
        <v>-6290.7</v>
      </c>
      <c r="S368" s="84"/>
      <c r="T368" s="84">
        <v>20000</v>
      </c>
      <c r="V368" s="84">
        <v>20000</v>
      </c>
    </row>
    <row r="369" spans="1:22" x14ac:dyDescent="0.35">
      <c r="A369" s="2" t="s">
        <v>410</v>
      </c>
      <c r="B369" s="2" t="s">
        <v>411</v>
      </c>
      <c r="C369" s="26">
        <v>0</v>
      </c>
      <c r="D369" s="17">
        <v>0</v>
      </c>
      <c r="F369" s="17">
        <v>0</v>
      </c>
      <c r="G369" s="17">
        <v>0</v>
      </c>
      <c r="H369" s="17">
        <f t="shared" si="65"/>
        <v>0</v>
      </c>
      <c r="I369" s="17">
        <v>0</v>
      </c>
      <c r="N369" s="18">
        <v>0</v>
      </c>
      <c r="O369" s="84"/>
      <c r="P369" s="84">
        <f t="shared" si="62"/>
        <v>0</v>
      </c>
      <c r="Q369" s="84"/>
      <c r="S369" s="84"/>
      <c r="V369" s="84"/>
    </row>
    <row r="370" spans="1:22" x14ac:dyDescent="0.35">
      <c r="A370" s="2" t="s">
        <v>412</v>
      </c>
      <c r="B370" s="2" t="s">
        <v>74</v>
      </c>
      <c r="C370" s="26">
        <v>0</v>
      </c>
      <c r="D370" s="17">
        <v>0</v>
      </c>
      <c r="F370" s="17">
        <v>0</v>
      </c>
      <c r="G370" s="17">
        <v>0</v>
      </c>
      <c r="H370" s="17">
        <f t="shared" si="65"/>
        <v>0</v>
      </c>
      <c r="I370" s="17">
        <v>0</v>
      </c>
      <c r="N370" s="18">
        <v>0</v>
      </c>
      <c r="O370" s="84"/>
      <c r="P370" s="84">
        <f t="shared" si="62"/>
        <v>0</v>
      </c>
      <c r="Q370" s="84"/>
      <c r="S370" s="84"/>
      <c r="V370" s="84"/>
    </row>
    <row r="371" spans="1:22" x14ac:dyDescent="0.35">
      <c r="A371" s="2" t="s">
        <v>413</v>
      </c>
      <c r="B371" s="2" t="s">
        <v>374</v>
      </c>
      <c r="C371" s="26">
        <v>400000</v>
      </c>
      <c r="D371" s="17">
        <v>400000</v>
      </c>
      <c r="F371" s="17">
        <v>0</v>
      </c>
      <c r="G371" s="17">
        <v>0</v>
      </c>
      <c r="H371" s="17">
        <f t="shared" si="65"/>
        <v>0</v>
      </c>
      <c r="I371" s="17">
        <v>400000</v>
      </c>
      <c r="N371" s="18">
        <v>400000</v>
      </c>
      <c r="O371" s="84"/>
      <c r="P371" s="84">
        <f t="shared" si="62"/>
        <v>400000</v>
      </c>
      <c r="Q371" s="84">
        <v>40000</v>
      </c>
      <c r="R371">
        <v>10</v>
      </c>
      <c r="S371" s="84"/>
      <c r="T371" s="84">
        <v>0</v>
      </c>
      <c r="V371" s="84">
        <v>0</v>
      </c>
    </row>
    <row r="372" spans="1:22" x14ac:dyDescent="0.35">
      <c r="A372" s="2" t="s">
        <v>785</v>
      </c>
      <c r="B372" s="2" t="s">
        <v>50</v>
      </c>
      <c r="C372" s="26"/>
      <c r="O372" s="84"/>
      <c r="P372" s="84"/>
      <c r="Q372" s="84">
        <v>-10000</v>
      </c>
      <c r="R372">
        <v>7.95</v>
      </c>
      <c r="S372" s="84"/>
      <c r="V372" s="84"/>
    </row>
    <row r="373" spans="1:22" x14ac:dyDescent="0.35">
      <c r="A373" s="2" t="s">
        <v>414</v>
      </c>
      <c r="B373" s="2" t="s">
        <v>415</v>
      </c>
      <c r="C373" s="26">
        <v>0</v>
      </c>
      <c r="D373" s="17">
        <v>0</v>
      </c>
      <c r="F373" s="17">
        <v>0</v>
      </c>
      <c r="G373" s="17">
        <v>0</v>
      </c>
      <c r="H373" s="17">
        <f t="shared" si="65"/>
        <v>0</v>
      </c>
      <c r="O373" s="84"/>
      <c r="P373" s="84">
        <f t="shared" si="62"/>
        <v>0</v>
      </c>
      <c r="Q373" s="84"/>
      <c r="S373" s="84"/>
      <c r="V373" s="84"/>
    </row>
    <row r="374" spans="1:22" x14ac:dyDescent="0.35">
      <c r="B374" s="5" t="s">
        <v>48</v>
      </c>
      <c r="C374" s="26">
        <v>455250</v>
      </c>
      <c r="D374" s="17">
        <f>SUM(D361:D373)</f>
        <v>446250</v>
      </c>
      <c r="F374" s="17">
        <f>SUM(F361:F373)</f>
        <v>65250</v>
      </c>
      <c r="G374" s="17">
        <v>0</v>
      </c>
      <c r="H374" s="17">
        <f>SUM(F374:G374)</f>
        <v>65250</v>
      </c>
      <c r="I374" s="17">
        <f>SUM(I361:I373)</f>
        <v>445625</v>
      </c>
      <c r="N374" s="23">
        <f>SUM(N361:N373)</f>
        <v>445625</v>
      </c>
      <c r="O374" s="84"/>
      <c r="P374" s="88">
        <f t="shared" si="62"/>
        <v>445625</v>
      </c>
      <c r="Q374" s="84">
        <f>SUM(Q361:Q373)</f>
        <v>35456.300000000003</v>
      </c>
      <c r="S374" s="88"/>
      <c r="T374" s="88">
        <f>SUM(T361:T373)</f>
        <v>63700</v>
      </c>
      <c r="V374" s="88">
        <f>SUM(V361:V373)</f>
        <v>63700</v>
      </c>
    </row>
    <row r="375" spans="1:22" x14ac:dyDescent="0.35">
      <c r="B375" s="5"/>
      <c r="C375" s="26"/>
      <c r="O375" s="84"/>
      <c r="P375" s="84"/>
      <c r="Q375" s="84"/>
      <c r="S375" s="84"/>
      <c r="V375" s="84"/>
    </row>
    <row r="376" spans="1:22" ht="15.5" x14ac:dyDescent="0.35">
      <c r="A376" s="10"/>
      <c r="B376" s="11" t="s">
        <v>416</v>
      </c>
      <c r="C376" s="26">
        <v>455250</v>
      </c>
      <c r="D376" s="17">
        <f>D374</f>
        <v>446250</v>
      </c>
      <c r="E376" s="17">
        <f>E374</f>
        <v>0</v>
      </c>
      <c r="F376" s="20">
        <f>F374</f>
        <v>65250</v>
      </c>
      <c r="G376" s="20"/>
      <c r="H376" s="20">
        <f>SUM(F376:G376)</f>
        <v>65250</v>
      </c>
      <c r="N376" s="18">
        <f>N374</f>
        <v>445625</v>
      </c>
      <c r="O376" s="84"/>
      <c r="P376" s="88">
        <f t="shared" si="62"/>
        <v>445625</v>
      </c>
      <c r="Q376" s="84"/>
      <c r="S376" s="88"/>
      <c r="T376" s="88">
        <f>SUM(T374:T375)</f>
        <v>63700</v>
      </c>
      <c r="V376" s="88">
        <f>SUM(V374:V375)</f>
        <v>63700</v>
      </c>
    </row>
    <row r="377" spans="1:22" ht="15.5" x14ac:dyDescent="0.35">
      <c r="A377" s="10"/>
      <c r="B377" s="11"/>
      <c r="C377" s="26"/>
      <c r="P377" s="84"/>
      <c r="Q377" s="84"/>
      <c r="S377" s="84"/>
      <c r="V377" s="84"/>
    </row>
    <row r="378" spans="1:22" ht="15.5" x14ac:dyDescent="0.35">
      <c r="A378" s="10"/>
      <c r="B378" s="12" t="s">
        <v>417</v>
      </c>
      <c r="C378" s="26">
        <v>455250</v>
      </c>
      <c r="D378" s="20"/>
      <c r="E378" s="21"/>
      <c r="F378" s="20">
        <f>[1]Revenues!E70</f>
        <v>455250</v>
      </c>
      <c r="G378" s="20">
        <v>0</v>
      </c>
      <c r="H378" s="20">
        <f>SUM(F378:G378)</f>
        <v>455250</v>
      </c>
      <c r="I378" s="20">
        <f>[1]Revenues!$K$70</f>
        <v>445625</v>
      </c>
      <c r="N378" s="18">
        <f>[1]Revenues!$K$70</f>
        <v>445625</v>
      </c>
      <c r="P378" s="88">
        <f t="shared" si="62"/>
        <v>445625</v>
      </c>
      <c r="Q378" s="84"/>
      <c r="S378" s="88"/>
      <c r="T378" s="88">
        <f>Revenues!U78</f>
        <v>63700</v>
      </c>
      <c r="V378" s="88">
        <f>Revenues!U78</f>
        <v>63700</v>
      </c>
    </row>
    <row r="379" spans="1:22" ht="15.5" x14ac:dyDescent="0.35">
      <c r="B379" s="12" t="s">
        <v>418</v>
      </c>
      <c r="C379" s="19">
        <v>455250</v>
      </c>
      <c r="D379" s="20"/>
      <c r="E379" s="21"/>
      <c r="F379" s="20">
        <f>+F376</f>
        <v>65250</v>
      </c>
      <c r="G379" s="20">
        <v>0</v>
      </c>
      <c r="H379" s="20">
        <f>SUM(F379:G379)</f>
        <v>65250</v>
      </c>
      <c r="I379" s="20">
        <v>445625</v>
      </c>
      <c r="N379" s="23">
        <f>N374</f>
        <v>445625</v>
      </c>
      <c r="P379" s="88">
        <f t="shared" si="62"/>
        <v>445625</v>
      </c>
      <c r="Q379" s="84"/>
      <c r="S379" s="88"/>
      <c r="T379" s="88">
        <f>T376</f>
        <v>63700</v>
      </c>
      <c r="V379" s="88">
        <f>V376</f>
        <v>63700</v>
      </c>
    </row>
    <row r="380" spans="1:22" ht="15.5" x14ac:dyDescent="0.35">
      <c r="B380" s="11" t="s">
        <v>387</v>
      </c>
      <c r="C380" s="19">
        <v>0</v>
      </c>
      <c r="D380" s="20"/>
      <c r="E380" s="21"/>
      <c r="F380" s="20">
        <f>F378-F379</f>
        <v>390000</v>
      </c>
      <c r="G380" s="20">
        <f>G378-G379</f>
        <v>0</v>
      </c>
      <c r="H380" s="20">
        <f>H378-H379</f>
        <v>390000</v>
      </c>
      <c r="I380" s="20">
        <v>0</v>
      </c>
      <c r="J380" s="20">
        <v>0</v>
      </c>
      <c r="K380" s="20">
        <v>0</v>
      </c>
      <c r="L380" s="20">
        <v>0</v>
      </c>
      <c r="M380" s="20">
        <v>0</v>
      </c>
      <c r="N380" s="20">
        <v>0</v>
      </c>
      <c r="P380" s="84"/>
      <c r="Q380" s="84"/>
      <c r="S380" s="84"/>
      <c r="T380" s="99">
        <f>T378-T379</f>
        <v>0</v>
      </c>
      <c r="V380" s="99">
        <f>V378-V379</f>
        <v>0</v>
      </c>
    </row>
    <row r="381" spans="1:22" ht="15.5" x14ac:dyDescent="0.35">
      <c r="B381" s="11"/>
      <c r="C381" s="19"/>
      <c r="P381" s="84"/>
      <c r="Q381" s="84"/>
      <c r="S381" s="84"/>
      <c r="V381" s="84"/>
    </row>
    <row r="382" spans="1:22" ht="15.5" x14ac:dyDescent="0.35">
      <c r="A382" s="13" t="s">
        <v>419</v>
      </c>
      <c r="B382" s="5"/>
      <c r="C382" s="26"/>
      <c r="E382" s="19" t="s">
        <v>508</v>
      </c>
      <c r="P382" s="84"/>
      <c r="Q382" s="84"/>
      <c r="S382" s="84"/>
      <c r="V382" s="84"/>
    </row>
    <row r="383" spans="1:22" x14ac:dyDescent="0.35">
      <c r="A383" s="2" t="s">
        <v>420</v>
      </c>
      <c r="B383" s="2" t="s">
        <v>153</v>
      </c>
      <c r="C383" s="26">
        <v>40000</v>
      </c>
      <c r="D383" s="17">
        <v>40000</v>
      </c>
      <c r="F383" s="17">
        <v>40000</v>
      </c>
      <c r="G383" s="17">
        <v>0</v>
      </c>
      <c r="H383" s="17">
        <f>SUM(F383:G383)</f>
        <v>40000</v>
      </c>
      <c r="I383" s="17">
        <v>40000</v>
      </c>
      <c r="N383" s="18">
        <v>40000</v>
      </c>
      <c r="O383" s="84"/>
      <c r="P383" s="84">
        <f t="shared" si="62"/>
        <v>40000</v>
      </c>
      <c r="Q383" s="84">
        <v>41440</v>
      </c>
      <c r="R383">
        <v>103.6</v>
      </c>
      <c r="S383" s="84"/>
      <c r="T383" s="84">
        <v>40000</v>
      </c>
      <c r="V383" s="84">
        <v>40000</v>
      </c>
    </row>
    <row r="384" spans="1:22" x14ac:dyDescent="0.35">
      <c r="A384" s="2" t="s">
        <v>421</v>
      </c>
      <c r="B384" s="2" t="s">
        <v>402</v>
      </c>
      <c r="C384" s="26">
        <v>5000</v>
      </c>
      <c r="D384" s="17">
        <v>5000</v>
      </c>
      <c r="F384" s="17">
        <v>5000</v>
      </c>
      <c r="G384" s="17">
        <v>0</v>
      </c>
      <c r="H384" s="17">
        <f t="shared" ref="H384:H389" si="66">SUM(F384:G384)</f>
        <v>5000</v>
      </c>
      <c r="I384" s="17">
        <v>5000</v>
      </c>
      <c r="N384" s="18">
        <v>5000</v>
      </c>
      <c r="O384" s="84"/>
      <c r="P384" s="84">
        <f t="shared" si="62"/>
        <v>5000</v>
      </c>
      <c r="Q384" s="84">
        <v>38.520000000000003</v>
      </c>
      <c r="R384">
        <v>0.77</v>
      </c>
      <c r="S384" s="84"/>
      <c r="T384" s="84">
        <v>5000</v>
      </c>
      <c r="V384" s="84">
        <v>5000</v>
      </c>
    </row>
    <row r="385" spans="1:22" x14ac:dyDescent="0.35">
      <c r="A385" s="2" t="s">
        <v>422</v>
      </c>
      <c r="B385" s="2" t="s">
        <v>423</v>
      </c>
      <c r="C385" s="26">
        <v>15000</v>
      </c>
      <c r="D385" s="17">
        <v>15000</v>
      </c>
      <c r="F385" s="17">
        <v>15000</v>
      </c>
      <c r="G385" s="17">
        <v>0</v>
      </c>
      <c r="H385" s="17">
        <f t="shared" si="66"/>
        <v>15000</v>
      </c>
      <c r="I385" s="17">
        <v>15000</v>
      </c>
      <c r="N385" s="18">
        <v>15000</v>
      </c>
      <c r="O385" s="84"/>
      <c r="P385" s="84">
        <f t="shared" si="62"/>
        <v>15000</v>
      </c>
      <c r="Q385" s="84">
        <v>0</v>
      </c>
      <c r="S385" s="84"/>
      <c r="T385" s="84">
        <v>15000</v>
      </c>
      <c r="V385" s="84">
        <v>15000</v>
      </c>
    </row>
    <row r="386" spans="1:22" x14ac:dyDescent="0.35">
      <c r="A386" s="2" t="s">
        <v>424</v>
      </c>
      <c r="B386" s="2" t="s">
        <v>425</v>
      </c>
      <c r="C386" s="26">
        <v>21000</v>
      </c>
      <c r="D386" s="17">
        <v>21000</v>
      </c>
      <c r="F386" s="17">
        <v>10000</v>
      </c>
      <c r="G386" s="17">
        <v>0</v>
      </c>
      <c r="H386" s="17">
        <f t="shared" si="66"/>
        <v>10000</v>
      </c>
      <c r="I386" s="17">
        <v>10000</v>
      </c>
      <c r="N386" s="18">
        <v>10000</v>
      </c>
      <c r="O386" s="84"/>
      <c r="P386" s="84">
        <f t="shared" si="62"/>
        <v>10000</v>
      </c>
      <c r="Q386" s="84">
        <v>5495</v>
      </c>
      <c r="R386">
        <v>54.95</v>
      </c>
      <c r="S386" s="84"/>
      <c r="T386" s="84">
        <v>10000</v>
      </c>
      <c r="V386" s="84">
        <v>10000</v>
      </c>
    </row>
    <row r="387" spans="1:22" x14ac:dyDescent="0.35">
      <c r="A387" s="2" t="s">
        <v>426</v>
      </c>
      <c r="B387" s="2" t="s">
        <v>316</v>
      </c>
      <c r="C387" s="26">
        <v>85000</v>
      </c>
      <c r="D387" s="17">
        <v>125000</v>
      </c>
      <c r="E387" s="2" t="s">
        <v>538</v>
      </c>
      <c r="F387" s="17">
        <v>65000</v>
      </c>
      <c r="G387" s="17">
        <v>0</v>
      </c>
      <c r="H387" s="17">
        <f t="shared" si="66"/>
        <v>65000</v>
      </c>
      <c r="I387" s="17">
        <v>65000</v>
      </c>
      <c r="N387" s="18">
        <v>65000</v>
      </c>
      <c r="O387" s="84"/>
      <c r="P387" s="84">
        <f t="shared" si="62"/>
        <v>65000</v>
      </c>
      <c r="Q387" s="84">
        <v>9711</v>
      </c>
      <c r="R387">
        <v>12.99</v>
      </c>
      <c r="S387" s="84"/>
      <c r="T387" s="84">
        <v>125000</v>
      </c>
      <c r="U387" t="s">
        <v>751</v>
      </c>
      <c r="V387" s="84">
        <v>65000</v>
      </c>
    </row>
    <row r="388" spans="1:22" x14ac:dyDescent="0.35">
      <c r="A388" s="2" t="s">
        <v>427</v>
      </c>
      <c r="B388" s="2" t="s">
        <v>79</v>
      </c>
      <c r="C388" s="26">
        <v>5000</v>
      </c>
      <c r="D388" s="17">
        <v>0</v>
      </c>
      <c r="F388" s="17">
        <v>0</v>
      </c>
      <c r="G388" s="17">
        <v>0</v>
      </c>
      <c r="H388" s="17">
        <f t="shared" si="66"/>
        <v>0</v>
      </c>
      <c r="I388" s="17">
        <v>0</v>
      </c>
      <c r="N388" s="18">
        <v>0</v>
      </c>
      <c r="O388" s="84"/>
      <c r="P388" s="84">
        <f t="shared" si="62"/>
        <v>0</v>
      </c>
      <c r="Q388" s="84"/>
      <c r="S388" s="84"/>
      <c r="T388" s="84">
        <v>0</v>
      </c>
      <c r="V388" s="84">
        <v>0</v>
      </c>
    </row>
    <row r="389" spans="1:22" x14ac:dyDescent="0.35">
      <c r="B389" s="5" t="s">
        <v>48</v>
      </c>
      <c r="C389" s="26">
        <v>171000</v>
      </c>
      <c r="D389" s="17">
        <f>SUM(D383:D388)</f>
        <v>206000</v>
      </c>
      <c r="F389" s="20">
        <f>SUM(F383:F388)</f>
        <v>135000</v>
      </c>
      <c r="G389" s="17">
        <f>SUM(G388)</f>
        <v>0</v>
      </c>
      <c r="H389" s="20">
        <f t="shared" si="66"/>
        <v>135000</v>
      </c>
      <c r="I389" s="20">
        <f>SUM(I383:I388)</f>
        <v>135000</v>
      </c>
      <c r="N389" s="23">
        <f>SUM(N383:N388)</f>
        <v>135000</v>
      </c>
      <c r="O389" s="84">
        <v>0</v>
      </c>
      <c r="P389" s="88">
        <f t="shared" si="62"/>
        <v>135000</v>
      </c>
      <c r="Q389" s="84">
        <f>SUM(Q383:Q388)</f>
        <v>56684.52</v>
      </c>
      <c r="S389" s="88"/>
      <c r="T389" s="88">
        <f>SUM(T383:T388)</f>
        <v>195000</v>
      </c>
      <c r="V389" s="88">
        <f>SUM(V383:V388)</f>
        <v>135000</v>
      </c>
    </row>
    <row r="390" spans="1:22" ht="15.5" x14ac:dyDescent="0.35">
      <c r="B390" s="14"/>
      <c r="C390" s="26"/>
      <c r="O390" s="84"/>
      <c r="P390" s="84"/>
      <c r="Q390" s="84"/>
      <c r="S390" s="84"/>
      <c r="V390" s="84"/>
    </row>
    <row r="391" spans="1:22" ht="15.5" x14ac:dyDescent="0.35">
      <c r="A391" s="13" t="s">
        <v>428</v>
      </c>
      <c r="B391" s="11"/>
      <c r="C391" s="26">
        <v>171000</v>
      </c>
      <c r="D391" s="20">
        <f>D389</f>
        <v>206000</v>
      </c>
      <c r="E391" s="20">
        <f>E389</f>
        <v>0</v>
      </c>
      <c r="F391" s="20">
        <f>F389</f>
        <v>135000</v>
      </c>
      <c r="G391" s="20"/>
      <c r="H391" s="20">
        <f>SUM(F391:G391)</f>
        <v>135000</v>
      </c>
      <c r="I391" s="20"/>
      <c r="N391" s="23">
        <f>N389</f>
        <v>135000</v>
      </c>
      <c r="O391" s="84"/>
      <c r="P391" s="88">
        <f t="shared" si="62"/>
        <v>135000</v>
      </c>
      <c r="Q391" s="84"/>
      <c r="S391" s="88"/>
      <c r="T391" s="88">
        <f>T389</f>
        <v>195000</v>
      </c>
      <c r="V391" s="88">
        <f>V389</f>
        <v>135000</v>
      </c>
    </row>
    <row r="392" spans="1:22" ht="15.5" x14ac:dyDescent="0.35">
      <c r="A392" s="13"/>
      <c r="B392" s="11"/>
      <c r="C392" s="19">
        <v>0</v>
      </c>
      <c r="P392" s="84"/>
      <c r="Q392" s="84"/>
      <c r="S392" s="84"/>
      <c r="V392" s="84"/>
    </row>
    <row r="393" spans="1:22" ht="15.5" x14ac:dyDescent="0.35">
      <c r="A393" s="13"/>
      <c r="B393" s="12" t="s">
        <v>429</v>
      </c>
      <c r="C393" s="26">
        <v>171000</v>
      </c>
      <c r="F393" s="35">
        <f>[1]Revenues!E76</f>
        <v>171000</v>
      </c>
      <c r="G393" s="35">
        <v>0</v>
      </c>
      <c r="H393" s="35">
        <f>SUM(F393:G393)</f>
        <v>171000</v>
      </c>
      <c r="I393" s="35">
        <f>[1]Revenues!$K$76</f>
        <v>135000</v>
      </c>
      <c r="N393" s="18">
        <f>[1]Revenues!$K$76</f>
        <v>135000</v>
      </c>
      <c r="P393" s="88">
        <f t="shared" si="62"/>
        <v>135000</v>
      </c>
      <c r="Q393" s="84"/>
      <c r="S393" s="88"/>
      <c r="T393" s="88">
        <f>Revenues!U84</f>
        <v>135000</v>
      </c>
      <c r="V393" s="88">
        <f>Revenues!U84</f>
        <v>135000</v>
      </c>
    </row>
    <row r="394" spans="1:22" ht="15.5" x14ac:dyDescent="0.35">
      <c r="A394" s="13"/>
      <c r="B394" s="12" t="s">
        <v>430</v>
      </c>
      <c r="C394" s="26">
        <v>171000</v>
      </c>
      <c r="F394" s="17">
        <f>F391</f>
        <v>135000</v>
      </c>
      <c r="G394" s="17">
        <v>0</v>
      </c>
      <c r="H394" s="17">
        <f>SUM(F394:G394)</f>
        <v>135000</v>
      </c>
      <c r="I394" s="17">
        <f>I389</f>
        <v>135000</v>
      </c>
      <c r="N394" s="18">
        <f>N389</f>
        <v>135000</v>
      </c>
      <c r="P394" s="88">
        <f t="shared" si="62"/>
        <v>135000</v>
      </c>
      <c r="Q394" s="84">
        <f>Q389</f>
        <v>56684.52</v>
      </c>
      <c r="S394" s="88"/>
      <c r="T394" s="88">
        <v>195000</v>
      </c>
      <c r="V394" s="88">
        <f>V391</f>
        <v>135000</v>
      </c>
    </row>
    <row r="395" spans="1:22" ht="15.5" x14ac:dyDescent="0.35">
      <c r="B395" s="11" t="s">
        <v>387</v>
      </c>
      <c r="C395" s="26">
        <v>0</v>
      </c>
      <c r="F395" s="20">
        <f>F393-F394</f>
        <v>36000</v>
      </c>
      <c r="G395" s="17">
        <f>G393-G394</f>
        <v>0</v>
      </c>
      <c r="H395" s="20">
        <f>H393-H394</f>
        <v>36000</v>
      </c>
      <c r="I395" s="17">
        <f>I393-I394</f>
        <v>0</v>
      </c>
      <c r="N395" s="23">
        <f>N393-N394</f>
        <v>0</v>
      </c>
      <c r="P395" s="84"/>
      <c r="Q395" s="84"/>
      <c r="S395" s="84"/>
      <c r="T395" s="84">
        <f>T393-T394</f>
        <v>-60000</v>
      </c>
      <c r="V395" s="84">
        <f>V393-V394</f>
        <v>0</v>
      </c>
    </row>
    <row r="396" spans="1:22" ht="15.5" x14ac:dyDescent="0.35">
      <c r="B396" s="11"/>
      <c r="C396" s="26"/>
      <c r="P396" s="84"/>
      <c r="Q396" s="84"/>
      <c r="S396" s="84"/>
      <c r="V396" s="84"/>
    </row>
    <row r="397" spans="1:22" ht="15.5" x14ac:dyDescent="0.35">
      <c r="A397" s="13" t="s">
        <v>431</v>
      </c>
      <c r="C397" s="26"/>
      <c r="E397" s="19" t="s">
        <v>508</v>
      </c>
      <c r="P397" s="84"/>
      <c r="Q397" s="84"/>
      <c r="S397" s="84"/>
      <c r="V397" s="84"/>
    </row>
    <row r="398" spans="1:22" x14ac:dyDescent="0.35">
      <c r="A398" s="2" t="s">
        <v>432</v>
      </c>
      <c r="B398" s="2" t="s">
        <v>83</v>
      </c>
      <c r="C398" s="26">
        <v>366000</v>
      </c>
      <c r="D398" s="17">
        <f>312754+81668</f>
        <v>394422</v>
      </c>
      <c r="E398" s="2" t="s">
        <v>539</v>
      </c>
      <c r="F398" s="17">
        <f>319574+81586</f>
        <v>401160</v>
      </c>
      <c r="G398" s="17">
        <v>0</v>
      </c>
      <c r="H398" s="17">
        <f>SUM(F398:G398)</f>
        <v>401160</v>
      </c>
      <c r="I398" s="17">
        <f>80006+344340</f>
        <v>424346</v>
      </c>
      <c r="N398" s="18">
        <f>346031+81564</f>
        <v>427595</v>
      </c>
      <c r="O398">
        <f>13555+10876</f>
        <v>24431</v>
      </c>
      <c r="P398" s="84">
        <f t="shared" si="62"/>
        <v>452026</v>
      </c>
      <c r="Q398" s="84">
        <v>289.16199999999998</v>
      </c>
      <c r="R398">
        <v>63.97</v>
      </c>
      <c r="S398" s="84"/>
      <c r="T398" s="84">
        <f>375125+96995</f>
        <v>472120</v>
      </c>
      <c r="V398" s="84">
        <f>375125+96995</f>
        <v>472120</v>
      </c>
    </row>
    <row r="399" spans="1:22" x14ac:dyDescent="0.35">
      <c r="A399" s="2" t="s">
        <v>433</v>
      </c>
      <c r="B399" s="2" t="s">
        <v>234</v>
      </c>
      <c r="C399" s="26">
        <v>15000</v>
      </c>
      <c r="D399" s="17">
        <v>15000</v>
      </c>
      <c r="F399" s="17">
        <v>15000</v>
      </c>
      <c r="G399" s="17">
        <v>0</v>
      </c>
      <c r="H399" s="17">
        <f t="shared" ref="H399:H404" si="67">SUM(F399:G399)</f>
        <v>15000</v>
      </c>
      <c r="I399" s="17">
        <f>15986.25</f>
        <v>15986.25</v>
      </c>
      <c r="N399" s="18">
        <v>15986</v>
      </c>
      <c r="P399" s="84">
        <f t="shared" si="62"/>
        <v>15986</v>
      </c>
      <c r="Q399" s="84">
        <v>8515</v>
      </c>
      <c r="R399">
        <v>53.26</v>
      </c>
      <c r="S399" s="84"/>
      <c r="T399" s="84">
        <f>16223</f>
        <v>16223</v>
      </c>
      <c r="V399" s="84">
        <f>16223</f>
        <v>16223</v>
      </c>
    </row>
    <row r="400" spans="1:22" x14ac:dyDescent="0.35">
      <c r="A400" s="2" t="s">
        <v>434</v>
      </c>
      <c r="B400" s="2" t="s">
        <v>4</v>
      </c>
      <c r="C400" s="26">
        <v>29100</v>
      </c>
      <c r="D400" s="17">
        <f>(D398+D399)*0.0767</f>
        <v>31402.667400000002</v>
      </c>
      <c r="F400" s="17">
        <f>6241+24447</f>
        <v>30688</v>
      </c>
      <c r="G400" s="17">
        <v>0</v>
      </c>
      <c r="H400" s="17">
        <f t="shared" si="67"/>
        <v>30688</v>
      </c>
      <c r="I400" s="17">
        <f>6120+27565</f>
        <v>33685</v>
      </c>
      <c r="N400" s="18">
        <f>27694+6240</f>
        <v>33934</v>
      </c>
      <c r="O400">
        <f>1052+826</f>
        <v>1878</v>
      </c>
      <c r="P400" s="84">
        <f t="shared" si="62"/>
        <v>35812</v>
      </c>
      <c r="Q400" s="84">
        <v>22458</v>
      </c>
      <c r="R400">
        <v>62.17</v>
      </c>
      <c r="S400" s="84"/>
      <c r="T400" s="84">
        <f>28697+7420</f>
        <v>36117</v>
      </c>
      <c r="V400" s="84">
        <f>28697+7420</f>
        <v>36117</v>
      </c>
    </row>
    <row r="401" spans="1:22" x14ac:dyDescent="0.35">
      <c r="A401" s="2" t="s">
        <v>435</v>
      </c>
      <c r="B401" s="2" t="s">
        <v>6</v>
      </c>
      <c r="C401" s="26">
        <v>19100</v>
      </c>
      <c r="D401" s="17">
        <v>27280</v>
      </c>
      <c r="F401" s="17">
        <f>5602+15979</f>
        <v>21581</v>
      </c>
      <c r="G401" s="17">
        <v>0</v>
      </c>
      <c r="H401" s="17">
        <f t="shared" si="67"/>
        <v>21581</v>
      </c>
      <c r="I401" s="17">
        <f>3380+18126</f>
        <v>21506</v>
      </c>
      <c r="N401" s="18">
        <f>18213+3458</f>
        <v>21671</v>
      </c>
      <c r="O401">
        <f>688+540</f>
        <v>1228</v>
      </c>
      <c r="P401" s="84">
        <f t="shared" si="62"/>
        <v>22899</v>
      </c>
      <c r="Q401" s="84">
        <v>15283</v>
      </c>
      <c r="R401">
        <v>66.739999999999995</v>
      </c>
      <c r="S401" s="84"/>
      <c r="T401" s="84">
        <f>18756+3803</f>
        <v>22559</v>
      </c>
      <c r="V401" s="84">
        <f>18756+3803</f>
        <v>22559</v>
      </c>
    </row>
    <row r="402" spans="1:22" x14ac:dyDescent="0.35">
      <c r="A402" s="2" t="s">
        <v>436</v>
      </c>
      <c r="B402" s="2" t="s">
        <v>8</v>
      </c>
      <c r="C402" s="26">
        <v>43500</v>
      </c>
      <c r="D402" s="17">
        <f>37843+5733</f>
        <v>43576</v>
      </c>
      <c r="F402" s="17">
        <f>5679+37504</f>
        <v>43183</v>
      </c>
      <c r="G402" s="17">
        <v>0</v>
      </c>
      <c r="H402" s="17">
        <f t="shared" si="67"/>
        <v>43183</v>
      </c>
      <c r="I402" s="17">
        <f>9180+43872</f>
        <v>53052</v>
      </c>
      <c r="N402" s="18">
        <f>44076+12536</f>
        <v>56612</v>
      </c>
      <c r="O402">
        <f>1772+1392</f>
        <v>3164</v>
      </c>
      <c r="P402" s="84">
        <f t="shared" ref="P402:P464" si="68">N402+O402</f>
        <v>59776</v>
      </c>
      <c r="Q402" s="84">
        <v>38371</v>
      </c>
      <c r="R402">
        <v>64.19</v>
      </c>
      <c r="S402" s="84"/>
      <c r="T402" s="84">
        <f>51167+22279</f>
        <v>73446</v>
      </c>
      <c r="V402" s="84">
        <f>51167+22279</f>
        <v>73446</v>
      </c>
    </row>
    <row r="403" spans="1:22" x14ac:dyDescent="0.35">
      <c r="A403" s="2" t="s">
        <v>437</v>
      </c>
      <c r="B403" s="2" t="s">
        <v>10</v>
      </c>
      <c r="C403" s="26">
        <v>57000</v>
      </c>
      <c r="D403" s="17">
        <f>45615.63+8300</f>
        <v>53915.63</v>
      </c>
      <c r="F403" s="17">
        <f>7794+42866</f>
        <v>50660</v>
      </c>
      <c r="G403" s="17">
        <v>0</v>
      </c>
      <c r="H403" s="17">
        <f t="shared" si="67"/>
        <v>50660</v>
      </c>
      <c r="I403" s="17">
        <f>11330+54383</f>
        <v>65713</v>
      </c>
      <c r="N403" s="18">
        <f>54383+11330</f>
        <v>65713</v>
      </c>
      <c r="P403" s="84">
        <f t="shared" si="68"/>
        <v>65713</v>
      </c>
      <c r="Q403" s="84">
        <v>308900</v>
      </c>
      <c r="R403">
        <v>47.02</v>
      </c>
      <c r="S403" s="84"/>
      <c r="T403" s="84">
        <f>47266+10742</f>
        <v>58008</v>
      </c>
      <c r="V403" s="84">
        <f>47266+10742</f>
        <v>58008</v>
      </c>
    </row>
    <row r="404" spans="1:22" x14ac:dyDescent="0.35">
      <c r="A404" s="2" t="s">
        <v>438</v>
      </c>
      <c r="B404" s="2" t="s">
        <v>185</v>
      </c>
      <c r="C404" s="26">
        <v>8000</v>
      </c>
      <c r="D404" s="17">
        <v>8000</v>
      </c>
      <c r="F404" s="17">
        <v>8000</v>
      </c>
      <c r="G404" s="17">
        <v>0</v>
      </c>
      <c r="H404" s="17">
        <f t="shared" si="67"/>
        <v>8000</v>
      </c>
      <c r="I404" s="17">
        <v>8000</v>
      </c>
      <c r="N404" s="18">
        <v>12000</v>
      </c>
      <c r="P404" s="84">
        <f t="shared" si="68"/>
        <v>12000</v>
      </c>
      <c r="Q404" s="84">
        <v>8625</v>
      </c>
      <c r="R404">
        <v>71.87</v>
      </c>
      <c r="S404" s="84"/>
      <c r="T404" s="84">
        <v>14000</v>
      </c>
      <c r="V404" s="84">
        <v>15000</v>
      </c>
    </row>
    <row r="405" spans="1:22" x14ac:dyDescent="0.35">
      <c r="B405" s="4" t="s">
        <v>13</v>
      </c>
      <c r="C405" s="26">
        <v>537700</v>
      </c>
      <c r="D405" s="17">
        <f>SUM(D398:D404)</f>
        <v>573596.29739999992</v>
      </c>
      <c r="F405" s="20">
        <f>SUM(F398:F404)</f>
        <v>570272</v>
      </c>
      <c r="G405" s="17">
        <v>0</v>
      </c>
      <c r="H405" s="20">
        <f>SUM(F405:G405)</f>
        <v>570272</v>
      </c>
      <c r="I405" s="20">
        <f>SUM(I398:I404)</f>
        <v>622288.25</v>
      </c>
      <c r="N405" s="23">
        <f>SUM(N398:N404)</f>
        <v>633511</v>
      </c>
      <c r="O405">
        <f>SUM(O398:O404)</f>
        <v>30701</v>
      </c>
      <c r="P405" s="88">
        <f t="shared" si="68"/>
        <v>664212</v>
      </c>
      <c r="Q405" s="84">
        <f>SUM(Q398:Q404)</f>
        <v>402441.16200000001</v>
      </c>
      <c r="S405" s="88"/>
      <c r="T405" s="88">
        <f>SUM(T398:T404)</f>
        <v>692473</v>
      </c>
      <c r="V405" s="88">
        <f>SUM(V398:V404)</f>
        <v>693473</v>
      </c>
    </row>
    <row r="406" spans="1:22" x14ac:dyDescent="0.35">
      <c r="B406" s="4"/>
      <c r="C406" s="26"/>
      <c r="P406" s="84"/>
      <c r="Q406" s="84"/>
      <c r="S406" s="84"/>
      <c r="V406" s="84"/>
    </row>
    <row r="407" spans="1:22" x14ac:dyDescent="0.35">
      <c r="A407" s="2" t="s">
        <v>439</v>
      </c>
      <c r="B407" s="2" t="s">
        <v>189</v>
      </c>
      <c r="C407" s="26">
        <v>16000</v>
      </c>
      <c r="D407" s="17">
        <v>16000</v>
      </c>
      <c r="F407" s="17">
        <v>16000</v>
      </c>
      <c r="G407" s="17">
        <v>0</v>
      </c>
      <c r="H407" s="17">
        <f>SUM(F407:G407)</f>
        <v>16000</v>
      </c>
      <c r="I407" s="17">
        <v>16000</v>
      </c>
      <c r="N407" s="18">
        <v>16000</v>
      </c>
      <c r="P407" s="84">
        <f t="shared" si="68"/>
        <v>16000</v>
      </c>
      <c r="Q407" s="84">
        <v>10640</v>
      </c>
      <c r="R407">
        <v>66.5</v>
      </c>
      <c r="S407" s="84"/>
      <c r="T407" s="84">
        <v>16000</v>
      </c>
      <c r="V407" s="84">
        <v>17000</v>
      </c>
    </row>
    <row r="408" spans="1:22" x14ac:dyDescent="0.35">
      <c r="A408" s="2" t="s">
        <v>440</v>
      </c>
      <c r="B408" s="2" t="s">
        <v>15</v>
      </c>
      <c r="C408" s="26">
        <v>25000</v>
      </c>
      <c r="D408" s="17">
        <v>25000</v>
      </c>
      <c r="E408" s="2" t="s">
        <v>540</v>
      </c>
      <c r="F408" s="17">
        <v>25000</v>
      </c>
      <c r="G408" s="17">
        <v>0</v>
      </c>
      <c r="H408" s="17">
        <f t="shared" ref="H408:H423" si="69">SUM(F408:G408)</f>
        <v>25000</v>
      </c>
      <c r="I408" s="17">
        <v>31600</v>
      </c>
      <c r="N408" s="18">
        <v>31600</v>
      </c>
      <c r="P408" s="84">
        <f t="shared" si="68"/>
        <v>31600</v>
      </c>
      <c r="Q408" s="84">
        <v>21865</v>
      </c>
      <c r="R408">
        <v>69.19</v>
      </c>
      <c r="S408" s="84"/>
      <c r="T408" s="84">
        <v>31600</v>
      </c>
      <c r="V408" s="84">
        <v>35000</v>
      </c>
    </row>
    <row r="409" spans="1:22" x14ac:dyDescent="0.35">
      <c r="A409" s="2" t="s">
        <v>441</v>
      </c>
      <c r="B409" s="2" t="s">
        <v>331</v>
      </c>
      <c r="C409" s="26">
        <v>16250</v>
      </c>
      <c r="D409" s="17">
        <v>16250</v>
      </c>
      <c r="F409" s="17">
        <v>20000</v>
      </c>
      <c r="G409" s="17">
        <v>0</v>
      </c>
      <c r="H409" s="17">
        <f t="shared" si="69"/>
        <v>20000</v>
      </c>
      <c r="I409" s="17">
        <v>22000</v>
      </c>
      <c r="N409" s="18">
        <v>22000</v>
      </c>
      <c r="P409" s="84">
        <f t="shared" si="68"/>
        <v>22000</v>
      </c>
      <c r="Q409" s="84">
        <v>6988</v>
      </c>
      <c r="R409">
        <v>31.76</v>
      </c>
      <c r="S409" s="84"/>
      <c r="T409" s="84">
        <v>8800</v>
      </c>
      <c r="V409" s="84">
        <f>8800+344</f>
        <v>9144</v>
      </c>
    </row>
    <row r="410" spans="1:22" x14ac:dyDescent="0.35">
      <c r="A410" s="2" t="s">
        <v>442</v>
      </c>
      <c r="B410" s="2" t="s">
        <v>443</v>
      </c>
      <c r="C410" s="26">
        <v>50000</v>
      </c>
      <c r="D410" s="17">
        <v>50000</v>
      </c>
      <c r="F410" s="17">
        <v>50000</v>
      </c>
      <c r="G410" s="17">
        <v>0</v>
      </c>
      <c r="H410" s="17">
        <f t="shared" si="69"/>
        <v>50000</v>
      </c>
      <c r="I410" s="17">
        <v>50000</v>
      </c>
      <c r="N410" s="18">
        <v>55000</v>
      </c>
      <c r="P410" s="84">
        <f t="shared" si="68"/>
        <v>55000</v>
      </c>
      <c r="Q410" s="84">
        <v>4475</v>
      </c>
      <c r="R410">
        <v>8.1300000000000008</v>
      </c>
      <c r="S410" s="84"/>
      <c r="T410" s="84">
        <v>50000</v>
      </c>
      <c r="V410" s="84">
        <v>50000</v>
      </c>
    </row>
    <row r="411" spans="1:22" x14ac:dyDescent="0.35">
      <c r="A411" s="2" t="s">
        <v>444</v>
      </c>
      <c r="B411" s="2" t="s">
        <v>445</v>
      </c>
      <c r="C411" s="26">
        <v>15000</v>
      </c>
      <c r="D411" s="17">
        <v>15000</v>
      </c>
      <c r="F411" s="17">
        <v>15000</v>
      </c>
      <c r="G411" s="17">
        <v>0</v>
      </c>
      <c r="H411" s="17">
        <f t="shared" si="69"/>
        <v>15000</v>
      </c>
      <c r="I411" s="17">
        <v>15000</v>
      </c>
      <c r="N411" s="18">
        <v>15000</v>
      </c>
      <c r="P411" s="84">
        <f t="shared" si="68"/>
        <v>15000</v>
      </c>
      <c r="Q411" s="84">
        <v>4075</v>
      </c>
      <c r="R411">
        <v>21.36</v>
      </c>
      <c r="S411" s="84"/>
      <c r="T411" s="84">
        <v>15000</v>
      </c>
      <c r="V411" s="84">
        <v>15000</v>
      </c>
    </row>
    <row r="412" spans="1:22" x14ac:dyDescent="0.35">
      <c r="A412" s="2" t="s">
        <v>446</v>
      </c>
      <c r="B412" s="2" t="s">
        <v>17</v>
      </c>
      <c r="C412" s="26">
        <v>14500</v>
      </c>
      <c r="D412" s="17">
        <v>14500</v>
      </c>
      <c r="F412" s="17">
        <v>15000</v>
      </c>
      <c r="G412" s="17">
        <v>0</v>
      </c>
      <c r="H412" s="17">
        <f t="shared" si="69"/>
        <v>15000</v>
      </c>
      <c r="I412" s="17">
        <v>18000</v>
      </c>
      <c r="N412" s="18">
        <v>18000</v>
      </c>
      <c r="P412" s="84">
        <f t="shared" si="68"/>
        <v>18000</v>
      </c>
      <c r="Q412" s="84">
        <v>11973</v>
      </c>
      <c r="R412">
        <v>66.510000000000005</v>
      </c>
      <c r="S412" s="84"/>
      <c r="T412" s="84">
        <v>18000</v>
      </c>
      <c r="V412" s="84">
        <v>23000</v>
      </c>
    </row>
    <row r="413" spans="1:22" x14ac:dyDescent="0.35">
      <c r="A413" s="2" t="s">
        <v>447</v>
      </c>
      <c r="B413" s="2" t="s">
        <v>19</v>
      </c>
      <c r="C413" s="26">
        <v>5000</v>
      </c>
      <c r="D413" s="17">
        <v>5000</v>
      </c>
      <c r="F413" s="17">
        <v>5000</v>
      </c>
      <c r="G413" s="17">
        <v>0</v>
      </c>
      <c r="H413" s="17">
        <f t="shared" si="69"/>
        <v>5000</v>
      </c>
      <c r="I413" s="17">
        <v>5000</v>
      </c>
      <c r="N413" s="18">
        <v>5000</v>
      </c>
      <c r="P413" s="84">
        <f t="shared" si="68"/>
        <v>5000</v>
      </c>
      <c r="Q413" s="84">
        <v>5842</v>
      </c>
      <c r="R413">
        <v>116.84</v>
      </c>
      <c r="S413" s="84"/>
      <c r="T413" s="84">
        <v>5000</v>
      </c>
      <c r="V413" s="84">
        <v>20000</v>
      </c>
    </row>
    <row r="414" spans="1:22" x14ac:dyDescent="0.35">
      <c r="A414" s="2" t="s">
        <v>448</v>
      </c>
      <c r="B414" s="2" t="s">
        <v>23</v>
      </c>
      <c r="C414" s="26">
        <v>7000</v>
      </c>
      <c r="D414" s="17">
        <v>7000</v>
      </c>
      <c r="F414" s="17">
        <v>7000</v>
      </c>
      <c r="G414" s="17">
        <v>0</v>
      </c>
      <c r="H414" s="17">
        <f t="shared" si="69"/>
        <v>7000</v>
      </c>
      <c r="I414" s="17">
        <v>7000</v>
      </c>
      <c r="N414" s="18">
        <v>7000</v>
      </c>
      <c r="P414" s="84">
        <f t="shared" si="68"/>
        <v>7000</v>
      </c>
      <c r="Q414" s="84">
        <v>2930</v>
      </c>
      <c r="R414">
        <v>41.85</v>
      </c>
      <c r="S414" s="84"/>
      <c r="T414" s="84">
        <v>7000</v>
      </c>
      <c r="V414" s="84">
        <v>7000</v>
      </c>
    </row>
    <row r="415" spans="1:22" x14ac:dyDescent="0.35">
      <c r="A415" s="2" t="s">
        <v>449</v>
      </c>
      <c r="B415" s="2" t="s">
        <v>450</v>
      </c>
      <c r="C415" s="26">
        <v>12500</v>
      </c>
      <c r="D415" s="17">
        <v>15000</v>
      </c>
      <c r="E415" s="2" t="s">
        <v>541</v>
      </c>
      <c r="F415" s="17">
        <v>15000</v>
      </c>
      <c r="G415" s="17">
        <v>0</v>
      </c>
      <c r="H415" s="17">
        <f t="shared" si="69"/>
        <v>15000</v>
      </c>
      <c r="I415" s="17">
        <v>15000</v>
      </c>
      <c r="N415" s="18">
        <v>16000</v>
      </c>
      <c r="P415" s="84">
        <f t="shared" si="68"/>
        <v>16000</v>
      </c>
      <c r="Q415" s="84">
        <v>9011</v>
      </c>
      <c r="R415">
        <v>56.32</v>
      </c>
      <c r="S415" s="84"/>
      <c r="T415" s="84">
        <v>16000</v>
      </c>
      <c r="V415" s="84">
        <v>16000</v>
      </c>
    </row>
    <row r="416" spans="1:22" x14ac:dyDescent="0.35">
      <c r="A416" s="2" t="s">
        <v>451</v>
      </c>
      <c r="B416" s="2" t="s">
        <v>452</v>
      </c>
      <c r="C416" s="26">
        <v>23000</v>
      </c>
      <c r="D416" s="17">
        <v>23000</v>
      </c>
      <c r="E416" s="2" t="s">
        <v>542</v>
      </c>
      <c r="F416" s="17">
        <v>23000</v>
      </c>
      <c r="G416" s="17">
        <v>0</v>
      </c>
      <c r="H416" s="17">
        <f t="shared" si="69"/>
        <v>23000</v>
      </c>
      <c r="I416" s="17">
        <v>23000</v>
      </c>
      <c r="N416" s="18">
        <v>23000</v>
      </c>
      <c r="P416" s="84">
        <f t="shared" si="68"/>
        <v>23000</v>
      </c>
      <c r="Q416" s="84">
        <v>17392</v>
      </c>
      <c r="R416">
        <v>75.61</v>
      </c>
      <c r="S416" s="84"/>
      <c r="T416" s="84">
        <v>23000</v>
      </c>
      <c r="V416" s="84">
        <v>30000</v>
      </c>
    </row>
    <row r="417" spans="1:22" x14ac:dyDescent="0.35">
      <c r="A417" s="2" t="s">
        <v>453</v>
      </c>
      <c r="B417" s="2" t="s">
        <v>210</v>
      </c>
      <c r="C417" s="26">
        <v>10000</v>
      </c>
      <c r="D417" s="17">
        <v>10000</v>
      </c>
      <c r="F417" s="17">
        <v>10000</v>
      </c>
      <c r="G417" s="17">
        <v>0</v>
      </c>
      <c r="H417" s="17">
        <f t="shared" si="69"/>
        <v>10000</v>
      </c>
      <c r="I417" s="17">
        <v>10000</v>
      </c>
      <c r="N417" s="18">
        <v>12000</v>
      </c>
      <c r="P417" s="84">
        <f t="shared" si="68"/>
        <v>12000</v>
      </c>
      <c r="Q417" s="84">
        <v>5931</v>
      </c>
      <c r="R417">
        <v>49.42</v>
      </c>
      <c r="S417" s="84"/>
      <c r="T417" s="84">
        <v>12000</v>
      </c>
      <c r="V417" s="84">
        <v>20000</v>
      </c>
    </row>
    <row r="418" spans="1:22" x14ac:dyDescent="0.35">
      <c r="A418" s="2" t="s">
        <v>454</v>
      </c>
      <c r="B418" s="2" t="s">
        <v>212</v>
      </c>
      <c r="C418" s="26">
        <v>8000</v>
      </c>
      <c r="D418" s="17">
        <v>8000</v>
      </c>
      <c r="F418" s="17">
        <v>8000</v>
      </c>
      <c r="G418" s="17">
        <v>0</v>
      </c>
      <c r="H418" s="17">
        <f t="shared" si="69"/>
        <v>8000</v>
      </c>
      <c r="I418" s="17">
        <v>8000</v>
      </c>
      <c r="N418" s="18">
        <v>10000</v>
      </c>
      <c r="P418" s="84">
        <f t="shared" si="68"/>
        <v>10000</v>
      </c>
      <c r="Q418" s="84">
        <v>4384</v>
      </c>
      <c r="R418">
        <v>43.84</v>
      </c>
      <c r="S418" s="84"/>
      <c r="T418" s="84">
        <v>10000</v>
      </c>
      <c r="V418" s="84">
        <v>20000</v>
      </c>
    </row>
    <row r="419" spans="1:22" x14ac:dyDescent="0.35">
      <c r="A419" s="2" t="s">
        <v>455</v>
      </c>
      <c r="B419" s="2" t="s">
        <v>456</v>
      </c>
      <c r="C419" s="26">
        <v>24500</v>
      </c>
      <c r="D419" s="17">
        <v>30000</v>
      </c>
      <c r="F419" s="17">
        <v>30000</v>
      </c>
      <c r="G419" s="17">
        <v>0</v>
      </c>
      <c r="H419" s="17">
        <f t="shared" si="69"/>
        <v>30000</v>
      </c>
      <c r="I419" s="17">
        <v>30000</v>
      </c>
      <c r="N419" s="18">
        <v>40000</v>
      </c>
      <c r="P419" s="84">
        <f t="shared" si="68"/>
        <v>40000</v>
      </c>
      <c r="Q419" s="84">
        <v>10008</v>
      </c>
      <c r="R419">
        <v>25.02</v>
      </c>
      <c r="S419" s="84"/>
      <c r="T419" s="84">
        <v>40000</v>
      </c>
      <c r="V419" s="84">
        <v>50000</v>
      </c>
    </row>
    <row r="420" spans="1:22" x14ac:dyDescent="0.35">
      <c r="A420" s="2" t="s">
        <v>457</v>
      </c>
      <c r="B420" s="2" t="s">
        <v>45</v>
      </c>
      <c r="C420" s="26">
        <v>17000</v>
      </c>
      <c r="D420" s="17">
        <v>17500</v>
      </c>
      <c r="F420" s="17">
        <v>17500</v>
      </c>
      <c r="G420" s="17">
        <v>0</v>
      </c>
      <c r="H420" s="17">
        <f t="shared" si="69"/>
        <v>17500</v>
      </c>
      <c r="I420" s="17">
        <v>42000</v>
      </c>
      <c r="N420" s="18">
        <v>42000</v>
      </c>
      <c r="P420" s="84">
        <f t="shared" si="68"/>
        <v>42000</v>
      </c>
      <c r="Q420" s="84">
        <v>21856</v>
      </c>
      <c r="R420">
        <v>52.03</v>
      </c>
      <c r="S420" s="84"/>
      <c r="T420" s="84">
        <v>42000</v>
      </c>
      <c r="V420" s="84">
        <v>42000</v>
      </c>
    </row>
    <row r="421" spans="1:22" x14ac:dyDescent="0.35">
      <c r="A421" s="2" t="s">
        <v>458</v>
      </c>
      <c r="B421" s="2" t="s">
        <v>216</v>
      </c>
      <c r="C421" s="26">
        <v>7260</v>
      </c>
      <c r="D421" s="17">
        <f>7260+152312.35</f>
        <v>159572.35</v>
      </c>
      <c r="F421" s="17">
        <f>7260+152312.35</f>
        <v>159572.35</v>
      </c>
      <c r="G421" s="17">
        <v>0</v>
      </c>
      <c r="H421" s="17">
        <f t="shared" si="69"/>
        <v>159572.35</v>
      </c>
      <c r="I421" s="27">
        <v>97651</v>
      </c>
      <c r="N421" s="18">
        <v>7257</v>
      </c>
      <c r="P421" s="84">
        <f t="shared" si="68"/>
        <v>7257</v>
      </c>
      <c r="Q421" s="84">
        <v>7257</v>
      </c>
      <c r="R421">
        <v>100</v>
      </c>
      <c r="S421" s="84"/>
      <c r="T421" s="84">
        <v>7257</v>
      </c>
      <c r="U421" t="s">
        <v>753</v>
      </c>
      <c r="V421" s="84">
        <v>7257</v>
      </c>
    </row>
    <row r="422" spans="1:22" x14ac:dyDescent="0.35">
      <c r="A422" s="2" t="s">
        <v>459</v>
      </c>
      <c r="B422" s="2" t="s">
        <v>460</v>
      </c>
      <c r="C422" s="26"/>
      <c r="I422" s="27">
        <v>149810.25</v>
      </c>
      <c r="N422" s="18">
        <v>149810</v>
      </c>
      <c r="P422" s="84">
        <f t="shared" si="68"/>
        <v>149810</v>
      </c>
      <c r="Q422" s="84">
        <v>149751</v>
      </c>
      <c r="R422">
        <v>99.96</v>
      </c>
      <c r="S422" s="84"/>
      <c r="T422" s="84">
        <v>149810</v>
      </c>
      <c r="U422" t="s">
        <v>752</v>
      </c>
      <c r="V422" s="84">
        <v>149810</v>
      </c>
    </row>
    <row r="423" spans="1:22" x14ac:dyDescent="0.35">
      <c r="A423" s="2" t="s">
        <v>461</v>
      </c>
      <c r="B423" s="2" t="s">
        <v>462</v>
      </c>
      <c r="C423" s="26">
        <v>20000</v>
      </c>
      <c r="D423" s="17">
        <v>20000</v>
      </c>
      <c r="F423" s="17">
        <v>20000</v>
      </c>
      <c r="G423" s="17">
        <v>0</v>
      </c>
      <c r="H423" s="17">
        <f t="shared" si="69"/>
        <v>20000</v>
      </c>
      <c r="P423" s="84">
        <f t="shared" si="68"/>
        <v>0</v>
      </c>
      <c r="Q423" s="84"/>
      <c r="S423" s="84"/>
      <c r="T423" s="84">
        <v>0</v>
      </c>
      <c r="V423" s="84">
        <v>0</v>
      </c>
    </row>
    <row r="424" spans="1:22" x14ac:dyDescent="0.35">
      <c r="B424" s="5" t="s">
        <v>48</v>
      </c>
      <c r="C424" s="26">
        <v>271010</v>
      </c>
      <c r="D424" s="17">
        <f>SUM(D407:D423)</f>
        <v>431822.35</v>
      </c>
      <c r="F424" s="20">
        <f>SUM(F407:F423)</f>
        <v>436072.35</v>
      </c>
      <c r="G424" s="17">
        <v>0</v>
      </c>
      <c r="H424" s="20">
        <f>SUM(F424:G424)</f>
        <v>436072.35</v>
      </c>
      <c r="I424" s="20">
        <f>SUM(I407:I423)</f>
        <v>540061.25</v>
      </c>
      <c r="N424" s="23">
        <f>SUM(N407:N423)</f>
        <v>469667</v>
      </c>
      <c r="O424">
        <v>0</v>
      </c>
      <c r="P424" s="88">
        <f t="shared" si="68"/>
        <v>469667</v>
      </c>
      <c r="Q424" s="84">
        <f>SUM(Q407:Q423)</f>
        <v>294378</v>
      </c>
      <c r="S424" s="88"/>
      <c r="T424" s="88">
        <f>SUM(T407:T423)</f>
        <v>451467</v>
      </c>
      <c r="V424" s="88">
        <f>SUM(V407:V423)</f>
        <v>511211</v>
      </c>
    </row>
    <row r="425" spans="1:22" x14ac:dyDescent="0.35">
      <c r="C425" s="26"/>
      <c r="P425" s="84"/>
      <c r="Q425" s="84"/>
      <c r="S425" s="84"/>
      <c r="V425" s="84"/>
    </row>
    <row r="426" spans="1:22" x14ac:dyDescent="0.35">
      <c r="A426" s="2" t="s">
        <v>463</v>
      </c>
      <c r="B426" s="2" t="s">
        <v>411</v>
      </c>
      <c r="C426" s="26">
        <v>0</v>
      </c>
      <c r="D426" s="17">
        <v>0</v>
      </c>
      <c r="F426" s="17">
        <v>0</v>
      </c>
      <c r="G426" s="17">
        <v>0</v>
      </c>
      <c r="H426" s="17">
        <f>SUM(F426:G426)</f>
        <v>0</v>
      </c>
      <c r="I426" s="17">
        <v>0</v>
      </c>
      <c r="N426" s="18">
        <v>348248</v>
      </c>
      <c r="P426" s="84">
        <f t="shared" si="68"/>
        <v>348248</v>
      </c>
      <c r="Q426" s="84">
        <v>224234</v>
      </c>
      <c r="R426">
        <v>64.38</v>
      </c>
      <c r="S426" s="84"/>
      <c r="T426" s="84">
        <v>0</v>
      </c>
      <c r="V426" s="84">
        <v>0</v>
      </c>
    </row>
    <row r="427" spans="1:22" x14ac:dyDescent="0.35">
      <c r="A427" s="2" t="s">
        <v>464</v>
      </c>
      <c r="B427" s="2" t="s">
        <v>74</v>
      </c>
      <c r="C427" s="26">
        <v>48000</v>
      </c>
      <c r="D427" s="17">
        <v>388000</v>
      </c>
      <c r="E427" s="2" t="s">
        <v>543</v>
      </c>
      <c r="F427" s="17">
        <v>400000</v>
      </c>
      <c r="G427" s="17">
        <v>0</v>
      </c>
      <c r="H427" s="17">
        <f>SUM(F427:G427)</f>
        <v>400000</v>
      </c>
      <c r="I427" s="17">
        <v>0</v>
      </c>
      <c r="N427" s="18">
        <v>0</v>
      </c>
      <c r="P427" s="84">
        <f t="shared" si="68"/>
        <v>0</v>
      </c>
      <c r="Q427" s="84"/>
      <c r="S427" s="84"/>
      <c r="T427" s="84">
        <v>0</v>
      </c>
      <c r="V427" s="84">
        <v>0</v>
      </c>
    </row>
    <row r="428" spans="1:22" x14ac:dyDescent="0.35">
      <c r="A428" s="2" t="s">
        <v>465</v>
      </c>
      <c r="B428" s="2" t="s">
        <v>466</v>
      </c>
      <c r="C428" s="26">
        <v>0</v>
      </c>
      <c r="D428" s="17">
        <v>0</v>
      </c>
      <c r="F428" s="17">
        <v>0</v>
      </c>
      <c r="G428" s="17">
        <v>0</v>
      </c>
      <c r="H428" s="17">
        <f>SUM(F428:G428)</f>
        <v>0</v>
      </c>
      <c r="I428" s="17">
        <v>0</v>
      </c>
      <c r="N428" s="18">
        <v>0</v>
      </c>
      <c r="P428" s="84">
        <f t="shared" si="68"/>
        <v>0</v>
      </c>
      <c r="Q428" s="84"/>
      <c r="S428" s="84"/>
      <c r="T428" s="84">
        <v>0</v>
      </c>
      <c r="V428" s="84">
        <v>0</v>
      </c>
    </row>
    <row r="429" spans="1:22" x14ac:dyDescent="0.35">
      <c r="A429" s="2" t="s">
        <v>467</v>
      </c>
      <c r="B429" s="2" t="s">
        <v>468</v>
      </c>
      <c r="C429" s="26">
        <v>2135000</v>
      </c>
      <c r="D429" s="17">
        <v>3650000</v>
      </c>
      <c r="E429" s="2" t="s">
        <v>544</v>
      </c>
      <c r="F429" s="17">
        <v>3100000</v>
      </c>
      <c r="G429" s="17">
        <v>0</v>
      </c>
      <c r="H429" s="27">
        <f>SUM(F429:G429)</f>
        <v>3100000</v>
      </c>
      <c r="I429" s="27">
        <v>0</v>
      </c>
      <c r="N429" s="18">
        <v>0</v>
      </c>
      <c r="O429">
        <v>500000</v>
      </c>
      <c r="P429" s="84">
        <f t="shared" si="68"/>
        <v>500000</v>
      </c>
      <c r="Q429" s="84">
        <v>23356</v>
      </c>
      <c r="R429">
        <v>17.440000000000001</v>
      </c>
      <c r="S429" s="84"/>
      <c r="T429" s="99">
        <v>0</v>
      </c>
      <c r="U429" t="s">
        <v>754</v>
      </c>
      <c r="V429" s="99">
        <v>0</v>
      </c>
    </row>
    <row r="430" spans="1:22" ht="15.5" x14ac:dyDescent="0.35">
      <c r="B430" s="15" t="s">
        <v>77</v>
      </c>
      <c r="C430" s="26">
        <v>2183000</v>
      </c>
      <c r="D430" s="40">
        <f>SUM(D426:D429)</f>
        <v>4038000</v>
      </c>
      <c r="E430" s="14"/>
      <c r="F430" s="40">
        <f>SUM(F426:F429)</f>
        <v>3500000</v>
      </c>
      <c r="G430" s="17">
        <v>0</v>
      </c>
      <c r="H430" s="40">
        <f>SUM(F430:G430)</f>
        <v>3500000</v>
      </c>
      <c r="I430" s="40">
        <f>SUM(I426:I429)</f>
        <v>0</v>
      </c>
      <c r="N430" s="23">
        <f>SUM(N426:N429)</f>
        <v>348248</v>
      </c>
      <c r="O430">
        <f>SUM(O426:O429)</f>
        <v>500000</v>
      </c>
      <c r="P430" s="88">
        <f t="shared" si="68"/>
        <v>848248</v>
      </c>
      <c r="Q430" s="84">
        <f>SUM(Q426:Q429)</f>
        <v>247590</v>
      </c>
      <c r="S430" s="88"/>
      <c r="T430" s="88">
        <f>SUM(T426:T429)</f>
        <v>0</v>
      </c>
      <c r="V430" s="88">
        <f>SUM(V426:V429)</f>
        <v>0</v>
      </c>
    </row>
    <row r="431" spans="1:22" ht="15.5" x14ac:dyDescent="0.35">
      <c r="C431" s="39"/>
      <c r="P431" s="84"/>
      <c r="Q431" s="84"/>
      <c r="S431" s="84"/>
      <c r="V431" s="84"/>
    </row>
    <row r="432" spans="1:22" x14ac:dyDescent="0.35">
      <c r="A432" s="2" t="s">
        <v>469</v>
      </c>
      <c r="B432" s="2" t="s">
        <v>470</v>
      </c>
      <c r="C432" s="26">
        <v>876000</v>
      </c>
      <c r="D432" s="17">
        <v>885000</v>
      </c>
      <c r="E432" s="41" t="s">
        <v>545</v>
      </c>
      <c r="F432" s="17">
        <f>938000*1.02+55000</f>
        <v>1011760</v>
      </c>
      <c r="G432" s="17">
        <v>0</v>
      </c>
      <c r="H432" s="17">
        <f>SUM(F432:G432)</f>
        <v>1011760</v>
      </c>
      <c r="I432" s="17">
        <f>H432*1.03</f>
        <v>1042112.8</v>
      </c>
      <c r="N432" s="18">
        <f>H432*1.05+40000+0.51</f>
        <v>1102348.51</v>
      </c>
      <c r="P432" s="84">
        <f t="shared" si="68"/>
        <v>1102348.51</v>
      </c>
      <c r="Q432" s="84">
        <v>702855</v>
      </c>
      <c r="R432">
        <v>63.76</v>
      </c>
      <c r="S432" s="84"/>
      <c r="T432" s="84">
        <f>P432*1.03</f>
        <v>1135418.9653</v>
      </c>
      <c r="U432" t="s">
        <v>755</v>
      </c>
      <c r="V432" s="84">
        <f>P432*1.03</f>
        <v>1135418.9653</v>
      </c>
    </row>
    <row r="433" spans="1:22" x14ac:dyDescent="0.35">
      <c r="A433" s="2" t="s">
        <v>471</v>
      </c>
      <c r="B433" s="2" t="s">
        <v>472</v>
      </c>
      <c r="C433" s="26">
        <v>4000</v>
      </c>
      <c r="D433" s="17">
        <v>4000</v>
      </c>
      <c r="F433" s="17">
        <v>6000</v>
      </c>
      <c r="G433" s="17">
        <v>0</v>
      </c>
      <c r="H433" s="17">
        <f t="shared" ref="H433:H443" si="70">SUM(F433:G433)</f>
        <v>6000</v>
      </c>
      <c r="I433" s="17">
        <f>H433*1.03</f>
        <v>6180</v>
      </c>
      <c r="N433" s="18">
        <v>6250</v>
      </c>
      <c r="P433" s="84">
        <f t="shared" si="68"/>
        <v>6250</v>
      </c>
      <c r="Q433" s="84">
        <v>0</v>
      </c>
      <c r="S433" s="84"/>
      <c r="T433" s="84">
        <f>P433*1.03</f>
        <v>6437.5</v>
      </c>
      <c r="U433" t="s">
        <v>759</v>
      </c>
      <c r="V433" s="84">
        <f>P433*1.03</f>
        <v>6437.5</v>
      </c>
    </row>
    <row r="434" spans="1:22" x14ac:dyDescent="0.35">
      <c r="A434" s="2" t="s">
        <v>473</v>
      </c>
      <c r="B434" s="2" t="s">
        <v>474</v>
      </c>
      <c r="C434" s="26">
        <v>2095000</v>
      </c>
      <c r="D434" s="17">
        <v>2095000</v>
      </c>
      <c r="E434" s="2" t="s">
        <v>546</v>
      </c>
      <c r="F434" s="17">
        <f>2612000+38229</f>
        <v>2650229</v>
      </c>
      <c r="G434" s="17">
        <v>0</v>
      </c>
      <c r="H434" s="17">
        <f t="shared" si="70"/>
        <v>2650229</v>
      </c>
      <c r="I434" s="17">
        <f>H434*1.03</f>
        <v>2729735.87</v>
      </c>
      <c r="N434" s="18">
        <f>H434*1.05+40061</f>
        <v>2822801.45</v>
      </c>
      <c r="P434" s="84">
        <f t="shared" si="68"/>
        <v>2822801.45</v>
      </c>
      <c r="Q434" s="84">
        <v>1377534</v>
      </c>
      <c r="R434">
        <v>48.8</v>
      </c>
      <c r="S434" s="84"/>
      <c r="T434" s="84">
        <f>P434*1.03</f>
        <v>2907485.4935000003</v>
      </c>
      <c r="U434" t="s">
        <v>755</v>
      </c>
      <c r="V434" s="84">
        <f>P434*1.03</f>
        <v>2907485.4935000003</v>
      </c>
    </row>
    <row r="435" spans="1:22" x14ac:dyDescent="0.35">
      <c r="A435" s="2" t="s">
        <v>475</v>
      </c>
      <c r="B435" s="2" t="s">
        <v>476</v>
      </c>
      <c r="C435" s="26">
        <v>285000</v>
      </c>
      <c r="D435" s="17">
        <v>285000</v>
      </c>
      <c r="E435" s="2" t="s">
        <v>531</v>
      </c>
      <c r="F435" s="17">
        <v>15000</v>
      </c>
      <c r="G435" s="17">
        <v>0</v>
      </c>
      <c r="H435" s="17">
        <f t="shared" si="70"/>
        <v>15000</v>
      </c>
      <c r="I435" s="17">
        <v>15000</v>
      </c>
      <c r="N435" s="18">
        <v>15000</v>
      </c>
      <c r="P435" s="84">
        <f t="shared" si="68"/>
        <v>15000</v>
      </c>
      <c r="Q435" s="84">
        <v>26074</v>
      </c>
      <c r="R435">
        <v>173.82</v>
      </c>
      <c r="S435" s="84"/>
      <c r="T435" s="84">
        <v>31000</v>
      </c>
      <c r="V435" s="84">
        <v>50000</v>
      </c>
    </row>
    <row r="436" spans="1:22" x14ac:dyDescent="0.35">
      <c r="A436" s="2" t="s">
        <v>477</v>
      </c>
      <c r="B436" s="2" t="s">
        <v>50</v>
      </c>
      <c r="C436" s="26">
        <v>175000</v>
      </c>
      <c r="D436" s="17">
        <v>150000</v>
      </c>
      <c r="E436" s="2" t="s">
        <v>547</v>
      </c>
      <c r="F436" s="17">
        <v>150000</v>
      </c>
      <c r="G436" s="17">
        <v>300000</v>
      </c>
      <c r="H436" s="17">
        <f t="shared" si="70"/>
        <v>450000</v>
      </c>
      <c r="I436" s="17">
        <v>150000</v>
      </c>
      <c r="N436" s="18">
        <v>150000</v>
      </c>
      <c r="O436">
        <v>300000</v>
      </c>
      <c r="P436" s="84">
        <f t="shared" si="68"/>
        <v>450000</v>
      </c>
      <c r="Q436" s="84">
        <v>363173</v>
      </c>
      <c r="S436" s="84"/>
      <c r="T436" s="84">
        <v>155000</v>
      </c>
      <c r="V436" s="84">
        <v>175000</v>
      </c>
    </row>
    <row r="437" spans="1:22" x14ac:dyDescent="0.35">
      <c r="A437" s="2" t="s">
        <v>478</v>
      </c>
      <c r="B437" s="2" t="s">
        <v>479</v>
      </c>
      <c r="C437" s="26">
        <v>27500</v>
      </c>
      <c r="D437" s="17">
        <v>27500</v>
      </c>
      <c r="E437" s="2" t="s">
        <v>548</v>
      </c>
      <c r="F437" s="17">
        <v>30000</v>
      </c>
      <c r="G437" s="17">
        <v>0</v>
      </c>
      <c r="H437" s="17">
        <f t="shared" si="70"/>
        <v>30000</v>
      </c>
      <c r="I437" s="17">
        <v>98000</v>
      </c>
      <c r="N437" s="18">
        <v>98000</v>
      </c>
      <c r="P437" s="84">
        <f t="shared" si="68"/>
        <v>98000</v>
      </c>
      <c r="Q437" s="84">
        <v>12126</v>
      </c>
      <c r="S437" s="84"/>
      <c r="T437" s="84">
        <v>100000</v>
      </c>
      <c r="V437" s="84">
        <v>150000</v>
      </c>
    </row>
    <row r="438" spans="1:22" x14ac:dyDescent="0.35">
      <c r="A438" s="2" t="s">
        <v>480</v>
      </c>
      <c r="B438" s="2" t="s">
        <v>153</v>
      </c>
      <c r="C438" s="26">
        <v>30000</v>
      </c>
      <c r="D438" s="17">
        <v>30000</v>
      </c>
      <c r="F438" s="17">
        <v>30000</v>
      </c>
      <c r="G438" s="17">
        <v>0</v>
      </c>
      <c r="H438" s="17">
        <f t="shared" si="70"/>
        <v>30000</v>
      </c>
      <c r="I438" s="17">
        <v>30000</v>
      </c>
      <c r="N438" s="18">
        <v>15000</v>
      </c>
      <c r="P438" s="84">
        <f t="shared" si="68"/>
        <v>15000</v>
      </c>
      <c r="Q438" s="84">
        <v>15000</v>
      </c>
      <c r="R438">
        <v>100</v>
      </c>
      <c r="S438" s="84"/>
      <c r="T438" s="84">
        <v>15000</v>
      </c>
      <c r="V438" s="84">
        <v>15000</v>
      </c>
    </row>
    <row r="439" spans="1:22" x14ac:dyDescent="0.35">
      <c r="A439" s="2" t="s">
        <v>481</v>
      </c>
      <c r="B439" s="2" t="s">
        <v>482</v>
      </c>
      <c r="C439" s="26"/>
      <c r="N439" s="18">
        <v>15000</v>
      </c>
      <c r="P439" s="84">
        <f t="shared" si="68"/>
        <v>15000</v>
      </c>
      <c r="Q439" s="84">
        <v>15000</v>
      </c>
      <c r="R439">
        <v>100</v>
      </c>
      <c r="S439" s="84"/>
      <c r="T439" s="84">
        <v>15000</v>
      </c>
      <c r="V439" s="84">
        <v>15000</v>
      </c>
    </row>
    <row r="440" spans="1:22" x14ac:dyDescent="0.35">
      <c r="A440" s="2" t="s">
        <v>483</v>
      </c>
      <c r="B440" s="2" t="s">
        <v>159</v>
      </c>
      <c r="C440" s="26">
        <v>40000</v>
      </c>
      <c r="G440" s="17">
        <v>0</v>
      </c>
      <c r="H440" s="17">
        <f t="shared" si="70"/>
        <v>0</v>
      </c>
      <c r="I440" s="17">
        <v>0</v>
      </c>
      <c r="N440" s="18">
        <v>0</v>
      </c>
      <c r="P440" s="84">
        <f t="shared" si="68"/>
        <v>0</v>
      </c>
      <c r="Q440" s="84"/>
      <c r="S440" s="84"/>
      <c r="T440" s="84">
        <v>0</v>
      </c>
      <c r="V440" s="84">
        <v>10000</v>
      </c>
    </row>
    <row r="441" spans="1:22" x14ac:dyDescent="0.35">
      <c r="A441" s="2" t="s">
        <v>484</v>
      </c>
      <c r="B441" s="2" t="s">
        <v>39</v>
      </c>
      <c r="C441" s="26">
        <v>7000</v>
      </c>
      <c r="D441" s="17">
        <v>7000</v>
      </c>
      <c r="F441" s="17">
        <v>7000</v>
      </c>
      <c r="G441" s="17">
        <v>0</v>
      </c>
      <c r="H441" s="17">
        <f t="shared" si="70"/>
        <v>7000</v>
      </c>
      <c r="I441" s="17">
        <v>7000</v>
      </c>
      <c r="N441" s="18">
        <v>7000</v>
      </c>
      <c r="P441" s="84">
        <f t="shared" si="68"/>
        <v>7000</v>
      </c>
      <c r="Q441" s="84">
        <v>4134</v>
      </c>
      <c r="R441">
        <v>59.05</v>
      </c>
      <c r="S441" s="84"/>
      <c r="T441" s="84">
        <v>7000</v>
      </c>
      <c r="V441" s="84">
        <v>12000</v>
      </c>
    </row>
    <row r="442" spans="1:22" x14ac:dyDescent="0.35">
      <c r="A442" s="2" t="s">
        <v>485</v>
      </c>
      <c r="B442" s="2" t="s">
        <v>486</v>
      </c>
      <c r="C442" s="26">
        <v>12000</v>
      </c>
      <c r="D442" s="17">
        <v>12000</v>
      </c>
      <c r="F442" s="17">
        <v>12000</v>
      </c>
      <c r="G442" s="17">
        <v>0</v>
      </c>
      <c r="H442" s="17">
        <f t="shared" si="70"/>
        <v>12000</v>
      </c>
      <c r="I442" s="17">
        <v>13200</v>
      </c>
      <c r="N442" s="18">
        <v>13200</v>
      </c>
      <c r="P442" s="84">
        <f t="shared" si="68"/>
        <v>13200</v>
      </c>
      <c r="Q442" s="84">
        <v>12801</v>
      </c>
      <c r="R442">
        <v>96.97</v>
      </c>
      <c r="S442" s="84"/>
      <c r="T442" s="84">
        <v>13200</v>
      </c>
      <c r="V442" s="84">
        <v>15000</v>
      </c>
    </row>
    <row r="443" spans="1:22" x14ac:dyDescent="0.35">
      <c r="A443" s="2" t="s">
        <v>487</v>
      </c>
      <c r="B443" s="2" t="s">
        <v>488</v>
      </c>
      <c r="C443" s="26">
        <v>0</v>
      </c>
      <c r="D443" s="17">
        <v>0</v>
      </c>
      <c r="F443" s="17">
        <v>0</v>
      </c>
      <c r="G443" s="17">
        <v>0</v>
      </c>
      <c r="H443" s="17">
        <f t="shared" si="70"/>
        <v>0</v>
      </c>
      <c r="N443" s="23"/>
      <c r="P443" s="84">
        <f t="shared" si="68"/>
        <v>0</v>
      </c>
      <c r="Q443" s="84"/>
      <c r="S443" s="84"/>
      <c r="V443" s="84"/>
    </row>
    <row r="444" spans="1:22" x14ac:dyDescent="0.35">
      <c r="B444" s="4" t="s">
        <v>72</v>
      </c>
      <c r="C444" s="26">
        <v>3551500</v>
      </c>
      <c r="D444" s="17">
        <f>SUM(D432:D442)</f>
        <v>3495500</v>
      </c>
      <c r="F444" s="20">
        <f>SUM(F432:F442)</f>
        <v>3911989</v>
      </c>
      <c r="G444" s="17">
        <f>SUM(G432:G442)</f>
        <v>300000</v>
      </c>
      <c r="H444" s="20">
        <f>SUM(H432:H442)</f>
        <v>4211989</v>
      </c>
      <c r="I444" s="20">
        <f>SUM(I432:I443)</f>
        <v>4091228.67</v>
      </c>
      <c r="N444" s="23">
        <f>SUM(N432:N443)</f>
        <v>4244599.96</v>
      </c>
      <c r="O444">
        <f>SUM(O432:O443)</f>
        <v>300000</v>
      </c>
      <c r="P444" s="88">
        <f t="shared" si="68"/>
        <v>4544599.96</v>
      </c>
      <c r="Q444" s="84">
        <f>SUM(Q432:Q443)</f>
        <v>2528697</v>
      </c>
      <c r="S444" s="88"/>
      <c r="T444" s="88">
        <f>SUM(T432:T443)</f>
        <v>4385541.9588000001</v>
      </c>
      <c r="V444" s="88">
        <f>SUM(V432:V443)</f>
        <v>4491341.9588000001</v>
      </c>
    </row>
    <row r="445" spans="1:22" x14ac:dyDescent="0.35">
      <c r="C445" s="26"/>
      <c r="P445" s="84"/>
      <c r="Q445" s="84"/>
      <c r="S445" s="84"/>
      <c r="V445" s="84"/>
    </row>
    <row r="446" spans="1:22" ht="15.5" x14ac:dyDescent="0.35">
      <c r="B446" s="11" t="s">
        <v>489</v>
      </c>
      <c r="C446" s="26">
        <v>6543210</v>
      </c>
      <c r="D446" s="40">
        <f>D405+D424+D430+D444</f>
        <v>8538918.6473999992</v>
      </c>
      <c r="E446" s="20">
        <f>E405+E424+E430+E444</f>
        <v>0</v>
      </c>
      <c r="F446" s="40">
        <f>F405+F424+F430+F444</f>
        <v>8418333.3499999996</v>
      </c>
      <c r="G446" s="40">
        <f>G444</f>
        <v>300000</v>
      </c>
      <c r="H446" s="40">
        <f>SUM(F446:G446)</f>
        <v>8718333.3499999996</v>
      </c>
      <c r="I446" s="40">
        <f t="shared" ref="I446:N446" si="71">I444+I430+I424+I405</f>
        <v>5253578.17</v>
      </c>
      <c r="J446" s="40">
        <f t="shared" si="71"/>
        <v>0</v>
      </c>
      <c r="K446" s="40">
        <f t="shared" si="71"/>
        <v>0</v>
      </c>
      <c r="L446" s="40">
        <f t="shared" si="71"/>
        <v>0</v>
      </c>
      <c r="M446" s="40">
        <f t="shared" si="71"/>
        <v>0</v>
      </c>
      <c r="N446" s="40">
        <f t="shared" si="71"/>
        <v>5696025.96</v>
      </c>
      <c r="O446" s="40">
        <f>SUM(O444+O430+O405)</f>
        <v>830701</v>
      </c>
      <c r="P446" s="88">
        <f t="shared" si="68"/>
        <v>6526726.96</v>
      </c>
      <c r="Q446" s="84">
        <f>SUM(Q444+Q430+Q424+Q405)</f>
        <v>3473106.162</v>
      </c>
      <c r="S446" s="88"/>
      <c r="T446" s="88">
        <f>SUM(T444+T430+T424+T405)</f>
        <v>5529481.9588000001</v>
      </c>
      <c r="V446" s="88">
        <f>SUM(V444+V430+V424+V405)</f>
        <v>5696025.9588000001</v>
      </c>
    </row>
    <row r="447" spans="1:22" ht="15.5" x14ac:dyDescent="0.35">
      <c r="B447" s="11"/>
      <c r="C447" s="39"/>
      <c r="G447" s="40"/>
      <c r="P447" s="84"/>
      <c r="Q447" s="84"/>
      <c r="S447" s="84"/>
      <c r="V447" s="84"/>
    </row>
    <row r="448" spans="1:22" ht="15.5" x14ac:dyDescent="0.35">
      <c r="B448" s="12" t="s">
        <v>490</v>
      </c>
      <c r="C448" s="26">
        <v>6543210</v>
      </c>
      <c r="F448" s="20">
        <f>[1]Revenues!E106</f>
        <v>0</v>
      </c>
      <c r="G448" s="40">
        <v>300000</v>
      </c>
      <c r="H448" s="20">
        <f>SUM(F448:G448)</f>
        <v>300000</v>
      </c>
      <c r="I448" s="17">
        <f>[1]Revenues!$K$98</f>
        <v>5475084</v>
      </c>
      <c r="N448" s="18">
        <f>[1]Revenues!$M$98</f>
        <v>5696025.7000000002</v>
      </c>
      <c r="O448">
        <f>Revenues!N106</f>
        <v>830701</v>
      </c>
      <c r="P448" s="88">
        <f>N448+O448</f>
        <v>6526726.7000000002</v>
      </c>
      <c r="Q448" s="84"/>
      <c r="S448" s="88"/>
      <c r="T448" s="88">
        <f>Revenues!U106</f>
        <v>5696025.7000000002</v>
      </c>
      <c r="V448" s="88">
        <f>Revenues!U106</f>
        <v>5696025.7000000002</v>
      </c>
    </row>
    <row r="449" spans="1:22" ht="15.5" x14ac:dyDescent="0.35">
      <c r="B449" s="12" t="s">
        <v>491</v>
      </c>
      <c r="C449" s="26">
        <v>6543210</v>
      </c>
      <c r="F449" s="20">
        <f>F446</f>
        <v>8418333.3499999996</v>
      </c>
      <c r="G449" s="20">
        <v>300000</v>
      </c>
      <c r="H449" s="20">
        <f>SUM(F449:G449)</f>
        <v>8718333.3499999996</v>
      </c>
      <c r="I449" s="17">
        <f>$J$446</f>
        <v>0</v>
      </c>
      <c r="N449" s="18">
        <f>N446</f>
        <v>5696025.96</v>
      </c>
      <c r="O449" s="85">
        <f>O446</f>
        <v>830701</v>
      </c>
      <c r="P449" s="88">
        <f>N449+O449</f>
        <v>6526726.96</v>
      </c>
      <c r="Q449" s="84">
        <f>Q446</f>
        <v>3473106.162</v>
      </c>
      <c r="S449" s="88"/>
      <c r="T449" s="88">
        <f>T446</f>
        <v>5529481.9588000001</v>
      </c>
      <c r="V449" s="88">
        <f>V446</f>
        <v>5696025.9588000001</v>
      </c>
    </row>
    <row r="450" spans="1:22" ht="15.5" x14ac:dyDescent="0.35">
      <c r="B450" s="11" t="s">
        <v>387</v>
      </c>
      <c r="C450" s="26">
        <v>0</v>
      </c>
      <c r="D450" s="20"/>
      <c r="E450" s="21"/>
      <c r="F450" s="40">
        <f>F448-F449</f>
        <v>-8418333.3499999996</v>
      </c>
      <c r="G450" s="40">
        <f>G448-G449</f>
        <v>0</v>
      </c>
      <c r="H450" s="40">
        <f>H448-H449</f>
        <v>-8418333.3499999996</v>
      </c>
      <c r="I450" s="42">
        <f>I448-I449</f>
        <v>5475084</v>
      </c>
      <c r="N450" s="23">
        <f>N448-N449</f>
        <v>-0.25999999977648258</v>
      </c>
      <c r="O450" s="23">
        <f>O448-O449</f>
        <v>0</v>
      </c>
      <c r="P450" s="84">
        <f t="shared" si="68"/>
        <v>-0.25999999977648258</v>
      </c>
      <c r="Q450" s="84"/>
      <c r="S450" s="84"/>
      <c r="T450" s="99">
        <f>T448-T449</f>
        <v>166543.74120000005</v>
      </c>
      <c r="V450" s="99">
        <f>V448-V449</f>
        <v>-0.25879999995231628</v>
      </c>
    </row>
    <row r="451" spans="1:22" x14ac:dyDescent="0.35">
      <c r="C451" s="19"/>
      <c r="P451" s="84"/>
      <c r="Q451" s="84"/>
      <c r="S451" s="84"/>
      <c r="V451" s="84"/>
    </row>
    <row r="452" spans="1:22" ht="15.5" x14ac:dyDescent="0.35">
      <c r="A452" s="13" t="s">
        <v>492</v>
      </c>
      <c r="B452" s="5"/>
      <c r="C452" s="26"/>
      <c r="E452" s="19" t="s">
        <v>508</v>
      </c>
      <c r="P452" s="84"/>
      <c r="Q452" s="84"/>
      <c r="S452" s="84"/>
      <c r="V452" s="84"/>
    </row>
    <row r="453" spans="1:22" x14ac:dyDescent="0.35">
      <c r="A453" s="7" t="s">
        <v>493</v>
      </c>
      <c r="B453" s="2" t="s">
        <v>494</v>
      </c>
      <c r="C453" s="26">
        <v>0</v>
      </c>
      <c r="D453" s="17">
        <v>0</v>
      </c>
      <c r="F453" s="17">
        <v>0</v>
      </c>
      <c r="G453" s="17">
        <v>0</v>
      </c>
      <c r="H453" s="17">
        <f>SUM(F453:G453)</f>
        <v>0</v>
      </c>
      <c r="I453" s="17">
        <v>0</v>
      </c>
      <c r="N453" s="18">
        <v>0</v>
      </c>
      <c r="P453" s="84">
        <f t="shared" si="68"/>
        <v>0</v>
      </c>
      <c r="Q453" s="84"/>
      <c r="S453" s="84"/>
      <c r="T453" s="84">
        <v>0</v>
      </c>
      <c r="V453" s="84">
        <v>0</v>
      </c>
    </row>
    <row r="454" spans="1:22" x14ac:dyDescent="0.35">
      <c r="A454" s="7" t="s">
        <v>495</v>
      </c>
      <c r="B454" s="2" t="s">
        <v>496</v>
      </c>
      <c r="C454" s="26">
        <v>0</v>
      </c>
      <c r="D454" s="17">
        <v>0</v>
      </c>
      <c r="F454" s="17">
        <v>0</v>
      </c>
      <c r="G454" s="17">
        <v>0</v>
      </c>
      <c r="H454" s="17">
        <f>SUM(F454:G454)</f>
        <v>0</v>
      </c>
      <c r="I454" s="17">
        <v>0</v>
      </c>
      <c r="N454" s="18">
        <v>0</v>
      </c>
      <c r="P454" s="84">
        <f t="shared" si="68"/>
        <v>0</v>
      </c>
      <c r="Q454" s="84"/>
      <c r="S454" s="84"/>
      <c r="T454" s="84">
        <v>0</v>
      </c>
      <c r="V454" s="84">
        <v>0</v>
      </c>
    </row>
    <row r="455" spans="1:22" ht="15.5" x14ac:dyDescent="0.35">
      <c r="A455" s="13" t="s">
        <v>492</v>
      </c>
      <c r="B455" s="11"/>
      <c r="C455" s="26">
        <v>0</v>
      </c>
      <c r="D455" s="20">
        <f>SUM(D453:D454)</f>
        <v>0</v>
      </c>
      <c r="E455" s="21"/>
      <c r="F455" s="20">
        <f>SUM(F453:F454)</f>
        <v>0</v>
      </c>
      <c r="G455" s="20">
        <f>SUM(G453:G454)</f>
        <v>0</v>
      </c>
      <c r="H455" s="20">
        <f>SUM(H453:H454)</f>
        <v>0</v>
      </c>
      <c r="I455" s="20">
        <f>SUM(I453:I454)</f>
        <v>0</v>
      </c>
      <c r="N455" s="23">
        <f>SUM(N453:N454)</f>
        <v>0</v>
      </c>
      <c r="P455" s="84">
        <f t="shared" si="68"/>
        <v>0</v>
      </c>
      <c r="Q455" s="84"/>
      <c r="S455" s="84"/>
      <c r="T455" s="84">
        <v>0</v>
      </c>
      <c r="V455" s="84">
        <v>0</v>
      </c>
    </row>
    <row r="456" spans="1:22" x14ac:dyDescent="0.35">
      <c r="C456" s="26"/>
      <c r="P456" s="84">
        <f t="shared" si="68"/>
        <v>0</v>
      </c>
      <c r="Q456" s="84"/>
      <c r="S456" s="84"/>
      <c r="T456" s="84">
        <v>0</v>
      </c>
      <c r="V456" s="84">
        <v>0</v>
      </c>
    </row>
    <row r="457" spans="1:22" ht="15.5" x14ac:dyDescent="0.35">
      <c r="A457" s="13" t="s">
        <v>497</v>
      </c>
      <c r="C457" s="26"/>
      <c r="N457" s="18">
        <f>N349+N357+N379+N394+N446+N455</f>
        <v>6311650.96</v>
      </c>
      <c r="O457">
        <v>0</v>
      </c>
      <c r="P457" s="88">
        <f t="shared" si="68"/>
        <v>6311650.96</v>
      </c>
      <c r="Q457" s="84"/>
      <c r="S457" s="88"/>
      <c r="T457" s="88">
        <f>SUM(T446+T394+T379+T357+T349)</f>
        <v>5833181.9588000001</v>
      </c>
      <c r="V457" s="88">
        <f>SUM(V446+V394+V379+V357+V349+V338)</f>
        <v>5995725.9588000001</v>
      </c>
    </row>
    <row r="458" spans="1:22" x14ac:dyDescent="0.35">
      <c r="C458" s="26"/>
      <c r="P458" s="84"/>
      <c r="Q458" s="84"/>
      <c r="S458" s="84"/>
      <c r="V458" s="84"/>
    </row>
    <row r="459" spans="1:22" ht="18" x14ac:dyDescent="0.4">
      <c r="A459" s="16" t="s">
        <v>498</v>
      </c>
      <c r="C459" s="26">
        <v>15531317</v>
      </c>
      <c r="D459" s="40">
        <f>D446+D376+D349+D328+D391+D455+D357</f>
        <v>21218572.397399999</v>
      </c>
      <c r="E459" s="40">
        <f>E446+E376+E349+E328+E391+E455+E357</f>
        <v>0</v>
      </c>
      <c r="F459" s="40">
        <f>F446+F376+F349+F328+F391+F455+F357</f>
        <v>17830388.18</v>
      </c>
      <c r="G459" s="40">
        <f>SUM(G446+G328)</f>
        <v>466300</v>
      </c>
      <c r="H459" s="40">
        <f>SUM(F459:G459)</f>
        <v>18296688.18</v>
      </c>
      <c r="I459" s="40">
        <f>I446+I376+I349+I328+I391+I455+I357</f>
        <v>15696651.614825331</v>
      </c>
      <c r="J459" s="40">
        <f>J446+J376+J349+J328+J391+J455+J357</f>
        <v>0</v>
      </c>
      <c r="K459" s="40">
        <f>K446+K376+K349+K328+K391+K455+K357</f>
        <v>0</v>
      </c>
      <c r="L459" s="40">
        <f>L446+L376+L349+L328+L391+L455+L357</f>
        <v>8379377.8473999994</v>
      </c>
      <c r="M459" s="40">
        <f>M446+M376+M349+M328+M391+M455+M357</f>
        <v>975250</v>
      </c>
      <c r="N459" s="40">
        <f>N446+N376+N349+N328+N389+N455+N357</f>
        <v>16608458.469999999</v>
      </c>
      <c r="O459" s="49">
        <f>O457+O446+O424+O389+O376+O357+O349</f>
        <v>831701</v>
      </c>
      <c r="P459" s="84">
        <f t="shared" si="68"/>
        <v>17440159.469999999</v>
      </c>
      <c r="Q459" s="88"/>
      <c r="R459" s="100"/>
      <c r="S459" s="84"/>
      <c r="T459" s="88">
        <f>T457+T331</f>
        <v>16797480.958799999</v>
      </c>
      <c r="U459" s="100"/>
      <c r="V459" s="88">
        <f>V457+V331</f>
        <v>16932591.958799999</v>
      </c>
    </row>
    <row r="460" spans="1:22" ht="18" x14ac:dyDescent="0.4">
      <c r="A460" s="16"/>
      <c r="C460" s="39"/>
      <c r="P460" s="84"/>
      <c r="Q460" s="84"/>
      <c r="S460" s="84"/>
      <c r="V460" s="84"/>
    </row>
    <row r="461" spans="1:22" x14ac:dyDescent="0.35">
      <c r="C461" s="26"/>
      <c r="P461" s="84"/>
      <c r="Q461" s="84"/>
      <c r="S461" s="84"/>
      <c r="V461" s="84"/>
    </row>
    <row r="462" spans="1:22" ht="15.5" x14ac:dyDescent="0.35">
      <c r="B462" s="13" t="s">
        <v>499</v>
      </c>
      <c r="C462" s="26">
        <v>15571317</v>
      </c>
      <c r="D462" s="17">
        <f>+[1]Revenues!E118</f>
        <v>15571317</v>
      </c>
      <c r="E462" s="17">
        <f>+[1]Revenues!J118</f>
        <v>10539073</v>
      </c>
      <c r="F462" s="17">
        <f>[1]Revenues!$G$118</f>
        <v>18330388.429499999</v>
      </c>
      <c r="G462" s="17">
        <f>G459</f>
        <v>466300</v>
      </c>
      <c r="H462" s="20">
        <f>SUM(F462:G462)</f>
        <v>18796688.429499999</v>
      </c>
      <c r="I462" s="20">
        <f>[1]Revenues!$K$118</f>
        <v>16302996.109099999</v>
      </c>
      <c r="J462" s="21"/>
      <c r="K462" s="21"/>
      <c r="L462" s="21"/>
      <c r="M462" s="21"/>
      <c r="N462" s="23">
        <f>[1]Revenues!$M$118</f>
        <v>16608458.199999999</v>
      </c>
      <c r="P462" s="84">
        <f t="shared" si="68"/>
        <v>16608458.199999999</v>
      </c>
      <c r="Q462" s="88"/>
      <c r="R462" s="100"/>
      <c r="S462" s="84"/>
      <c r="T462" s="88">
        <f>Revenues!U130</f>
        <v>16932591.904165</v>
      </c>
      <c r="U462" s="100"/>
      <c r="V462" s="88">
        <f>Revenues!U130</f>
        <v>16932591.904165</v>
      </c>
    </row>
    <row r="463" spans="1:22" ht="15.5" x14ac:dyDescent="0.35">
      <c r="B463" s="13" t="s">
        <v>500</v>
      </c>
      <c r="C463" s="26">
        <v>15531317</v>
      </c>
      <c r="D463" s="43">
        <f>+D328+D349+D376+D446+D391+D357</f>
        <v>21218572.397399999</v>
      </c>
      <c r="E463" s="43">
        <f>+E328+E349+E376+E446+E391+E357</f>
        <v>0</v>
      </c>
      <c r="F463" s="43">
        <f>+F328+F349+F376+F446+F391+F357</f>
        <v>17830388.18</v>
      </c>
      <c r="G463" s="17">
        <v>466300</v>
      </c>
      <c r="H463" s="36">
        <f>SUM(F463:G463)</f>
        <v>18296688.18</v>
      </c>
      <c r="I463" s="36">
        <f t="shared" ref="I463:N463" si="72">I459</f>
        <v>15696651.614825331</v>
      </c>
      <c r="J463" s="36">
        <f t="shared" si="72"/>
        <v>0</v>
      </c>
      <c r="K463" s="36">
        <f t="shared" si="72"/>
        <v>0</v>
      </c>
      <c r="L463" s="36">
        <f t="shared" si="72"/>
        <v>8379377.8473999994</v>
      </c>
      <c r="M463" s="36">
        <f t="shared" si="72"/>
        <v>975250</v>
      </c>
      <c r="N463" s="36">
        <f t="shared" si="72"/>
        <v>16608458.469999999</v>
      </c>
      <c r="O463" s="49">
        <f>O459+O328</f>
        <v>1227192.5</v>
      </c>
      <c r="P463" s="84">
        <f t="shared" si="68"/>
        <v>17835650.969999999</v>
      </c>
      <c r="Q463" s="88"/>
      <c r="R463" s="100"/>
      <c r="S463" s="84"/>
      <c r="T463" s="88">
        <f>T459</f>
        <v>16797480.958799999</v>
      </c>
      <c r="U463" s="100"/>
      <c r="V463" s="88">
        <f>V459</f>
        <v>16932591.958799999</v>
      </c>
    </row>
    <row r="464" spans="1:22" ht="16" thickBot="1" x14ac:dyDescent="0.4">
      <c r="B464" s="13" t="s">
        <v>387</v>
      </c>
      <c r="C464" s="26">
        <v>40000</v>
      </c>
      <c r="D464" s="43"/>
      <c r="I464" s="18">
        <f>I462-I463</f>
        <v>606344.4942746684</v>
      </c>
      <c r="N464" s="18">
        <f>N462-N463</f>
        <v>-0.26999999955296516</v>
      </c>
      <c r="P464" s="84">
        <f t="shared" si="68"/>
        <v>-0.26999999955296516</v>
      </c>
      <c r="Q464" s="84"/>
      <c r="S464" s="84"/>
      <c r="T464" s="84">
        <f>T462-T463</f>
        <v>135110.94536500052</v>
      </c>
      <c r="V464" s="84">
        <f>V462-V463</f>
        <v>-5.4634999483823776E-2</v>
      </c>
    </row>
    <row r="465" spans="3:19" ht="15.5" x14ac:dyDescent="0.35">
      <c r="C465" s="44"/>
      <c r="P465" s="84"/>
      <c r="Q465" s="84"/>
      <c r="S465" s="84"/>
    </row>
    <row r="466" spans="3:19" x14ac:dyDescent="0.35">
      <c r="C466" s="26"/>
      <c r="F466" s="17">
        <f>F462-F463</f>
        <v>500000.24949999899</v>
      </c>
      <c r="G466" s="17">
        <f>G462-G463</f>
        <v>0</v>
      </c>
      <c r="P466" s="84"/>
      <c r="Q466" s="84"/>
      <c r="S466" s="84"/>
    </row>
    <row r="467" spans="3:19" x14ac:dyDescent="0.35">
      <c r="C467" s="26"/>
      <c r="P467" s="84"/>
      <c r="S467" s="84"/>
    </row>
    <row r="468" spans="3:19" x14ac:dyDescent="0.35">
      <c r="C468" s="26"/>
      <c r="P468" s="84"/>
      <c r="S468" s="84"/>
    </row>
    <row r="469" spans="3:19" x14ac:dyDescent="0.35">
      <c r="C469" s="26"/>
      <c r="P469" s="84"/>
      <c r="S469" s="84"/>
    </row>
    <row r="470" spans="3:19" x14ac:dyDescent="0.35">
      <c r="C470" s="26"/>
      <c r="P470" s="84"/>
      <c r="S470" s="84"/>
    </row>
    <row r="471" spans="3:19" x14ac:dyDescent="0.35">
      <c r="C471" s="26"/>
      <c r="P471" s="84"/>
      <c r="S471" s="84"/>
    </row>
    <row r="472" spans="3:19" x14ac:dyDescent="0.35">
      <c r="C472" s="26"/>
      <c r="P472" s="84"/>
      <c r="S472" s="84"/>
    </row>
    <row r="473" spans="3:19" x14ac:dyDescent="0.35">
      <c r="C473" s="26"/>
      <c r="P473" s="84"/>
      <c r="S473" s="84"/>
    </row>
    <row r="474" spans="3:19" x14ac:dyDescent="0.35">
      <c r="C474" s="26"/>
      <c r="P474" s="84"/>
      <c r="S474" s="84"/>
    </row>
    <row r="475" spans="3:19" x14ac:dyDescent="0.35">
      <c r="C475" s="26"/>
      <c r="P475" s="84"/>
      <c r="S475" s="84"/>
    </row>
    <row r="476" spans="3:19" x14ac:dyDescent="0.35">
      <c r="C476" s="26"/>
      <c r="P476" s="84"/>
      <c r="S476" s="84"/>
    </row>
    <row r="477" spans="3:19" x14ac:dyDescent="0.35">
      <c r="C477" s="26"/>
      <c r="P477" s="84"/>
      <c r="S477" s="84"/>
    </row>
    <row r="478" spans="3:19" x14ac:dyDescent="0.35">
      <c r="C478" s="26"/>
      <c r="P478" s="84"/>
      <c r="S478" s="84"/>
    </row>
    <row r="479" spans="3:19" x14ac:dyDescent="0.35">
      <c r="C479" s="26"/>
      <c r="P479" s="84"/>
      <c r="S479" s="84"/>
    </row>
    <row r="480" spans="3:19" x14ac:dyDescent="0.35">
      <c r="C480" s="26"/>
      <c r="P480" s="84"/>
      <c r="S480" s="84"/>
    </row>
    <row r="481" spans="3:19" x14ac:dyDescent="0.35">
      <c r="C481" s="26"/>
      <c r="P481" s="84"/>
      <c r="S481" s="84"/>
    </row>
    <row r="482" spans="3:19" x14ac:dyDescent="0.35">
      <c r="C482" s="26"/>
      <c r="P482" s="84"/>
      <c r="S482" s="84"/>
    </row>
    <row r="483" spans="3:19" x14ac:dyDescent="0.35">
      <c r="C483" s="26"/>
      <c r="P483" s="84"/>
      <c r="S483" s="84"/>
    </row>
    <row r="484" spans="3:19" x14ac:dyDescent="0.35">
      <c r="C484" s="26"/>
      <c r="P484" s="84"/>
      <c r="S484" s="84"/>
    </row>
    <row r="485" spans="3:19" x14ac:dyDescent="0.35">
      <c r="C485" s="26"/>
      <c r="P485" s="84"/>
      <c r="S485" s="84"/>
    </row>
    <row r="486" spans="3:19" x14ac:dyDescent="0.35">
      <c r="C486" s="26"/>
      <c r="P486" s="84"/>
      <c r="S486" s="84"/>
    </row>
    <row r="487" spans="3:19" x14ac:dyDescent="0.35">
      <c r="C487" s="26"/>
      <c r="P487" s="84"/>
      <c r="S487" s="84"/>
    </row>
    <row r="488" spans="3:19" x14ac:dyDescent="0.35">
      <c r="C488" s="26"/>
      <c r="P488" s="84"/>
      <c r="S488" s="84"/>
    </row>
    <row r="489" spans="3:19" x14ac:dyDescent="0.35">
      <c r="C489" s="26"/>
      <c r="P489" s="84"/>
      <c r="S489" s="84"/>
    </row>
    <row r="490" spans="3:19" x14ac:dyDescent="0.35">
      <c r="C490" s="26"/>
      <c r="P490" s="84"/>
      <c r="S490" s="84"/>
    </row>
    <row r="491" spans="3:19" x14ac:dyDescent="0.35">
      <c r="C491" s="26"/>
      <c r="P491" s="84"/>
      <c r="S491" s="84"/>
    </row>
    <row r="492" spans="3:19" x14ac:dyDescent="0.35">
      <c r="C492" s="26"/>
      <c r="P492" s="84"/>
      <c r="S492" s="84"/>
    </row>
    <row r="493" spans="3:19" x14ac:dyDescent="0.35">
      <c r="C493" s="26"/>
      <c r="P493" s="84"/>
      <c r="S493" s="84"/>
    </row>
    <row r="494" spans="3:19" x14ac:dyDescent="0.35">
      <c r="C494" s="26"/>
      <c r="P494" s="84"/>
      <c r="S494" s="84"/>
    </row>
    <row r="495" spans="3:19" x14ac:dyDescent="0.35">
      <c r="C495" s="26"/>
      <c r="P495" s="84"/>
      <c r="S495" s="84"/>
    </row>
    <row r="496" spans="3:19" x14ac:dyDescent="0.35">
      <c r="C496" s="26"/>
      <c r="P496" s="84"/>
      <c r="S496" s="84"/>
    </row>
    <row r="497" spans="3:19" x14ac:dyDescent="0.35">
      <c r="C497" s="26"/>
      <c r="P497" s="84"/>
      <c r="S497" s="84"/>
    </row>
    <row r="498" spans="3:19" x14ac:dyDescent="0.35">
      <c r="C498" s="26"/>
      <c r="P498" s="84"/>
      <c r="S498" s="84"/>
    </row>
    <row r="499" spans="3:19" x14ac:dyDescent="0.35">
      <c r="C499" s="26"/>
      <c r="P499" s="84"/>
      <c r="S499" s="84"/>
    </row>
    <row r="500" spans="3:19" x14ac:dyDescent="0.35">
      <c r="C500" s="26"/>
      <c r="P500" s="84"/>
      <c r="S500" s="84"/>
    </row>
    <row r="501" spans="3:19" x14ac:dyDescent="0.35">
      <c r="C501" s="26"/>
      <c r="P501" s="84"/>
      <c r="S501" s="84"/>
    </row>
    <row r="502" spans="3:19" x14ac:dyDescent="0.35">
      <c r="C502" s="26"/>
      <c r="P502" s="84"/>
      <c r="S502" s="84"/>
    </row>
    <row r="503" spans="3:19" x14ac:dyDescent="0.35">
      <c r="C503" s="26"/>
      <c r="P503" s="84"/>
      <c r="S503" s="84"/>
    </row>
    <row r="504" spans="3:19" x14ac:dyDescent="0.35">
      <c r="C504" s="26"/>
      <c r="P504" s="84"/>
      <c r="S504" s="84"/>
    </row>
    <row r="505" spans="3:19" x14ac:dyDescent="0.35">
      <c r="C505" s="26"/>
      <c r="P505" s="84"/>
      <c r="S505" s="84"/>
    </row>
    <row r="506" spans="3:19" x14ac:dyDescent="0.35">
      <c r="C506" s="26"/>
      <c r="P506" s="84"/>
      <c r="S506" s="84"/>
    </row>
    <row r="507" spans="3:19" x14ac:dyDescent="0.35">
      <c r="C507" s="26"/>
      <c r="P507" s="84"/>
      <c r="S507" s="84"/>
    </row>
    <row r="508" spans="3:19" x14ac:dyDescent="0.35">
      <c r="C508" s="26"/>
      <c r="P508" s="84"/>
      <c r="S508" s="84"/>
    </row>
    <row r="509" spans="3:19" x14ac:dyDescent="0.35">
      <c r="C509" s="26"/>
      <c r="P509" s="84"/>
      <c r="S509" s="84"/>
    </row>
    <row r="510" spans="3:19" x14ac:dyDescent="0.35">
      <c r="C510" s="26"/>
      <c r="P510" s="84"/>
      <c r="S510" s="84"/>
    </row>
    <row r="511" spans="3:19" x14ac:dyDescent="0.35">
      <c r="C511" s="26"/>
      <c r="P511" s="84"/>
      <c r="S511" s="84"/>
    </row>
    <row r="512" spans="3:19" x14ac:dyDescent="0.35">
      <c r="C512" s="26"/>
      <c r="P512" s="84"/>
      <c r="S512" s="84"/>
    </row>
    <row r="513" spans="3:19" x14ac:dyDescent="0.35">
      <c r="C513" s="26"/>
      <c r="P513" s="84"/>
      <c r="S513" s="84"/>
    </row>
    <row r="514" spans="3:19" x14ac:dyDescent="0.35">
      <c r="C514" s="26"/>
      <c r="P514" s="84"/>
      <c r="S514" s="84"/>
    </row>
    <row r="515" spans="3:19" x14ac:dyDescent="0.35">
      <c r="C515" s="26"/>
      <c r="P515" s="84"/>
      <c r="S515" s="84"/>
    </row>
    <row r="516" spans="3:19" x14ac:dyDescent="0.35">
      <c r="C516" s="26"/>
      <c r="P516" s="84"/>
      <c r="S516" s="84"/>
    </row>
    <row r="517" spans="3:19" x14ac:dyDescent="0.35">
      <c r="C517" s="26"/>
      <c r="P517" s="84"/>
      <c r="S517" s="84"/>
    </row>
    <row r="518" spans="3:19" x14ac:dyDescent="0.35">
      <c r="C518" s="26"/>
      <c r="P518" s="84"/>
      <c r="S518" s="84"/>
    </row>
    <row r="519" spans="3:19" x14ac:dyDescent="0.35">
      <c r="C519" s="26"/>
      <c r="P519" s="84"/>
      <c r="S519" s="84"/>
    </row>
    <row r="520" spans="3:19" x14ac:dyDescent="0.35">
      <c r="C520" s="26"/>
      <c r="P520" s="84"/>
      <c r="S520" s="84"/>
    </row>
    <row r="521" spans="3:19" x14ac:dyDescent="0.35">
      <c r="C521" s="26"/>
      <c r="P521" s="84"/>
      <c r="S521" s="84"/>
    </row>
    <row r="522" spans="3:19" x14ac:dyDescent="0.35">
      <c r="C522" s="26"/>
      <c r="P522" s="84"/>
      <c r="S522" s="84"/>
    </row>
    <row r="523" spans="3:19" x14ac:dyDescent="0.35">
      <c r="C523" s="26"/>
      <c r="P523" s="84"/>
      <c r="S523" s="84"/>
    </row>
    <row r="524" spans="3:19" x14ac:dyDescent="0.35">
      <c r="C524" s="26"/>
      <c r="P524" s="84"/>
      <c r="S524" s="84"/>
    </row>
    <row r="525" spans="3:19" x14ac:dyDescent="0.35">
      <c r="C525" s="26"/>
      <c r="P525" s="84"/>
      <c r="S525" s="84"/>
    </row>
    <row r="526" spans="3:19" x14ac:dyDescent="0.35">
      <c r="C526" s="26"/>
      <c r="P526" s="84"/>
      <c r="S526" s="84"/>
    </row>
    <row r="527" spans="3:19" x14ac:dyDescent="0.35">
      <c r="C527" s="26"/>
      <c r="P527" s="84"/>
      <c r="S527" s="84"/>
    </row>
    <row r="528" spans="3:19" x14ac:dyDescent="0.35">
      <c r="C528" s="26"/>
      <c r="P528" s="84"/>
      <c r="S528" s="84"/>
    </row>
    <row r="529" spans="3:19" x14ac:dyDescent="0.35">
      <c r="C529" s="26"/>
      <c r="P529" s="84"/>
      <c r="S529" s="84"/>
    </row>
    <row r="530" spans="3:19" x14ac:dyDescent="0.35">
      <c r="C530" s="26"/>
      <c r="P530" s="84"/>
      <c r="S530" s="84"/>
    </row>
    <row r="531" spans="3:19" x14ac:dyDescent="0.35">
      <c r="C531" s="26"/>
      <c r="P531" s="84"/>
      <c r="S531" s="84"/>
    </row>
    <row r="532" spans="3:19" x14ac:dyDescent="0.35">
      <c r="C532" s="26"/>
      <c r="P532" s="84"/>
      <c r="S532" s="84"/>
    </row>
    <row r="533" spans="3:19" x14ac:dyDescent="0.35">
      <c r="C533" s="26"/>
      <c r="P533" s="84"/>
      <c r="S533" s="84"/>
    </row>
    <row r="534" spans="3:19" x14ac:dyDescent="0.35">
      <c r="C534" s="26"/>
    </row>
    <row r="535" spans="3:19" x14ac:dyDescent="0.35">
      <c r="C535" s="26"/>
    </row>
    <row r="536" spans="3:19" x14ac:dyDescent="0.35">
      <c r="C536" s="26"/>
    </row>
    <row r="537" spans="3:19" x14ac:dyDescent="0.35">
      <c r="C537" s="26"/>
    </row>
    <row r="538" spans="3:19" x14ac:dyDescent="0.35">
      <c r="C538" s="26"/>
    </row>
    <row r="539" spans="3:19" x14ac:dyDescent="0.35">
      <c r="C539" s="26"/>
    </row>
    <row r="540" spans="3:19" x14ac:dyDescent="0.35">
      <c r="C540" s="26"/>
    </row>
    <row r="541" spans="3:19" x14ac:dyDescent="0.35">
      <c r="C541" s="26"/>
    </row>
    <row r="542" spans="3:19" x14ac:dyDescent="0.35">
      <c r="C542" s="26"/>
    </row>
    <row r="543" spans="3:19" x14ac:dyDescent="0.35">
      <c r="C543" s="26"/>
    </row>
    <row r="544" spans="3:19" x14ac:dyDescent="0.35">
      <c r="C544" s="26"/>
    </row>
    <row r="545" spans="3:3" x14ac:dyDescent="0.35">
      <c r="C545" s="26"/>
    </row>
    <row r="546" spans="3:3" x14ac:dyDescent="0.35">
      <c r="C546" s="26"/>
    </row>
    <row r="547" spans="3:3" x14ac:dyDescent="0.35">
      <c r="C547" s="26"/>
    </row>
    <row r="548" spans="3:3" x14ac:dyDescent="0.35">
      <c r="C548" s="26"/>
    </row>
    <row r="549" spans="3:3" x14ac:dyDescent="0.35">
      <c r="C549" s="26"/>
    </row>
    <row r="550" spans="3:3" x14ac:dyDescent="0.35">
      <c r="C550" s="26"/>
    </row>
    <row r="551" spans="3:3" x14ac:dyDescent="0.35">
      <c r="C551" s="26"/>
    </row>
    <row r="552" spans="3:3" x14ac:dyDescent="0.35">
      <c r="C552" s="26"/>
    </row>
    <row r="553" spans="3:3" x14ac:dyDescent="0.35">
      <c r="C553" s="26"/>
    </row>
    <row r="554" spans="3:3" x14ac:dyDescent="0.35">
      <c r="C554" s="26"/>
    </row>
    <row r="555" spans="3:3" x14ac:dyDescent="0.35">
      <c r="C555" s="26"/>
    </row>
    <row r="556" spans="3:3" x14ac:dyDescent="0.35">
      <c r="C556" s="26"/>
    </row>
    <row r="557" spans="3:3" x14ac:dyDescent="0.35">
      <c r="C557" s="26"/>
    </row>
    <row r="558" spans="3:3" x14ac:dyDescent="0.35">
      <c r="C558" s="26"/>
    </row>
    <row r="559" spans="3:3" x14ac:dyDescent="0.35">
      <c r="C559" s="26"/>
    </row>
    <row r="560" spans="3:3" x14ac:dyDescent="0.35">
      <c r="C560" s="26"/>
    </row>
    <row r="561" spans="3:3" x14ac:dyDescent="0.35">
      <c r="C561" s="26"/>
    </row>
    <row r="562" spans="3:3" x14ac:dyDescent="0.35">
      <c r="C562" s="26"/>
    </row>
    <row r="563" spans="3:3" x14ac:dyDescent="0.35">
      <c r="C563" s="26"/>
    </row>
    <row r="564" spans="3:3" x14ac:dyDescent="0.35">
      <c r="C564" s="26"/>
    </row>
    <row r="565" spans="3:3" x14ac:dyDescent="0.35">
      <c r="C565" s="26"/>
    </row>
    <row r="566" spans="3:3" x14ac:dyDescent="0.35">
      <c r="C566" s="26"/>
    </row>
    <row r="567" spans="3:3" x14ac:dyDescent="0.35">
      <c r="C567" s="26"/>
    </row>
    <row r="568" spans="3:3" x14ac:dyDescent="0.35">
      <c r="C568" s="26"/>
    </row>
    <row r="569" spans="3:3" x14ac:dyDescent="0.35">
      <c r="C569" s="26"/>
    </row>
    <row r="570" spans="3:3" x14ac:dyDescent="0.35">
      <c r="C570" s="26"/>
    </row>
    <row r="571" spans="3:3" x14ac:dyDescent="0.35">
      <c r="C571" s="26"/>
    </row>
    <row r="572" spans="3:3" x14ac:dyDescent="0.35">
      <c r="C572" s="26"/>
    </row>
    <row r="573" spans="3:3" x14ac:dyDescent="0.35">
      <c r="C573" s="26"/>
    </row>
    <row r="574" spans="3:3" x14ac:dyDescent="0.35">
      <c r="C574" s="26"/>
    </row>
    <row r="575" spans="3:3" x14ac:dyDescent="0.35">
      <c r="C575" s="26"/>
    </row>
    <row r="576" spans="3:3" x14ac:dyDescent="0.35">
      <c r="C576" s="26"/>
    </row>
    <row r="577" spans="3:3" x14ac:dyDescent="0.35">
      <c r="C577" s="26"/>
    </row>
    <row r="578" spans="3:3" x14ac:dyDescent="0.35">
      <c r="C578" s="26"/>
    </row>
    <row r="579" spans="3:3" x14ac:dyDescent="0.35">
      <c r="C579" s="26"/>
    </row>
    <row r="580" spans="3:3" x14ac:dyDescent="0.35">
      <c r="C580" s="26"/>
    </row>
    <row r="581" spans="3:3" x14ac:dyDescent="0.35">
      <c r="C581" s="26"/>
    </row>
    <row r="582" spans="3:3" x14ac:dyDescent="0.35">
      <c r="C582" s="26"/>
    </row>
    <row r="583" spans="3:3" x14ac:dyDescent="0.35">
      <c r="C583" s="26"/>
    </row>
    <row r="584" spans="3:3" x14ac:dyDescent="0.35">
      <c r="C584" s="26"/>
    </row>
    <row r="585" spans="3:3" x14ac:dyDescent="0.35">
      <c r="C585" s="26"/>
    </row>
    <row r="586" spans="3:3" x14ac:dyDescent="0.35">
      <c r="C586" s="26"/>
    </row>
    <row r="587" spans="3:3" x14ac:dyDescent="0.35">
      <c r="C587" s="26"/>
    </row>
    <row r="588" spans="3:3" x14ac:dyDescent="0.35">
      <c r="C588" s="26"/>
    </row>
    <row r="589" spans="3:3" x14ac:dyDescent="0.35">
      <c r="C589" s="26"/>
    </row>
    <row r="590" spans="3:3" x14ac:dyDescent="0.35">
      <c r="C590" s="26"/>
    </row>
    <row r="591" spans="3:3" x14ac:dyDescent="0.35">
      <c r="C591" s="26"/>
    </row>
    <row r="592" spans="3:3" x14ac:dyDescent="0.35">
      <c r="C592" s="26"/>
    </row>
    <row r="593" spans="3:3" x14ac:dyDescent="0.35">
      <c r="C593" s="26"/>
    </row>
    <row r="594" spans="3:3" x14ac:dyDescent="0.35">
      <c r="C594" s="26"/>
    </row>
    <row r="595" spans="3:3" x14ac:dyDescent="0.35">
      <c r="C595" s="26"/>
    </row>
    <row r="596" spans="3:3" x14ac:dyDescent="0.35">
      <c r="C596" s="26"/>
    </row>
    <row r="597" spans="3:3" x14ac:dyDescent="0.35">
      <c r="C597" s="26"/>
    </row>
    <row r="598" spans="3:3" x14ac:dyDescent="0.35">
      <c r="C598" s="26"/>
    </row>
    <row r="599" spans="3:3" x14ac:dyDescent="0.35">
      <c r="C599" s="26"/>
    </row>
    <row r="600" spans="3:3" x14ac:dyDescent="0.35">
      <c r="C600" s="26"/>
    </row>
    <row r="601" spans="3:3" x14ac:dyDescent="0.35">
      <c r="C601" s="26"/>
    </row>
    <row r="602" spans="3:3" x14ac:dyDescent="0.35">
      <c r="C602" s="26"/>
    </row>
    <row r="603" spans="3:3" x14ac:dyDescent="0.35">
      <c r="C603" s="26"/>
    </row>
    <row r="604" spans="3:3" x14ac:dyDescent="0.35">
      <c r="C604" s="26"/>
    </row>
    <row r="605" spans="3:3" x14ac:dyDescent="0.35">
      <c r="C605" s="26"/>
    </row>
    <row r="606" spans="3:3" x14ac:dyDescent="0.35">
      <c r="C606" s="26"/>
    </row>
    <row r="607" spans="3:3" x14ac:dyDescent="0.35">
      <c r="C607" s="26"/>
    </row>
    <row r="608" spans="3:3" x14ac:dyDescent="0.35">
      <c r="C608" s="26"/>
    </row>
    <row r="609" spans="3:3" x14ac:dyDescent="0.35">
      <c r="C609" s="26"/>
    </row>
    <row r="610" spans="3:3" x14ac:dyDescent="0.35">
      <c r="C610" s="26"/>
    </row>
    <row r="611" spans="3:3" x14ac:dyDescent="0.35">
      <c r="C611" s="26"/>
    </row>
    <row r="612" spans="3:3" x14ac:dyDescent="0.35">
      <c r="C612" s="26"/>
    </row>
    <row r="613" spans="3:3" x14ac:dyDescent="0.35">
      <c r="C613" s="26"/>
    </row>
    <row r="614" spans="3:3" x14ac:dyDescent="0.35">
      <c r="C614" s="26"/>
    </row>
    <row r="615" spans="3:3" x14ac:dyDescent="0.35">
      <c r="C615" s="26"/>
    </row>
    <row r="616" spans="3:3" x14ac:dyDescent="0.35">
      <c r="C616" s="26"/>
    </row>
    <row r="617" spans="3:3" x14ac:dyDescent="0.35">
      <c r="C617" s="26"/>
    </row>
    <row r="618" spans="3:3" x14ac:dyDescent="0.35">
      <c r="C618" s="26"/>
    </row>
    <row r="619" spans="3:3" x14ac:dyDescent="0.35">
      <c r="C619" s="26"/>
    </row>
    <row r="620" spans="3:3" x14ac:dyDescent="0.35">
      <c r="C620" s="26"/>
    </row>
    <row r="621" spans="3:3" x14ac:dyDescent="0.35">
      <c r="C621" s="26"/>
    </row>
    <row r="622" spans="3:3" x14ac:dyDescent="0.35">
      <c r="C622" s="26"/>
    </row>
    <row r="623" spans="3:3" x14ac:dyDescent="0.35">
      <c r="C623" s="26"/>
    </row>
    <row r="624" spans="3:3" x14ac:dyDescent="0.35">
      <c r="C624" s="26"/>
    </row>
    <row r="625" spans="3:3" x14ac:dyDescent="0.35">
      <c r="C625" s="26"/>
    </row>
    <row r="626" spans="3:3" x14ac:dyDescent="0.35">
      <c r="C626" s="26"/>
    </row>
    <row r="627" spans="3:3" x14ac:dyDescent="0.35">
      <c r="C627" s="26"/>
    </row>
    <row r="628" spans="3:3" x14ac:dyDescent="0.35">
      <c r="C628" s="26"/>
    </row>
    <row r="629" spans="3:3" x14ac:dyDescent="0.35">
      <c r="C629" s="26"/>
    </row>
    <row r="630" spans="3:3" x14ac:dyDescent="0.35">
      <c r="C630" s="26"/>
    </row>
    <row r="631" spans="3:3" x14ac:dyDescent="0.35">
      <c r="C631" s="26"/>
    </row>
    <row r="632" spans="3:3" x14ac:dyDescent="0.35">
      <c r="C632" s="26"/>
    </row>
    <row r="633" spans="3:3" x14ac:dyDescent="0.35">
      <c r="C633" s="26"/>
    </row>
    <row r="634" spans="3:3" x14ac:dyDescent="0.35">
      <c r="C634" s="26"/>
    </row>
    <row r="635" spans="3:3" x14ac:dyDescent="0.35">
      <c r="C635" s="26"/>
    </row>
    <row r="636" spans="3:3" x14ac:dyDescent="0.35">
      <c r="C636" s="26"/>
    </row>
    <row r="637" spans="3:3" x14ac:dyDescent="0.35">
      <c r="C637" s="26"/>
    </row>
    <row r="638" spans="3:3" x14ac:dyDescent="0.35">
      <c r="C638" s="26"/>
    </row>
    <row r="639" spans="3:3" x14ac:dyDescent="0.35">
      <c r="C639" s="26"/>
    </row>
    <row r="640" spans="3:3" x14ac:dyDescent="0.35">
      <c r="C640" s="26"/>
    </row>
    <row r="641" spans="3:3" x14ac:dyDescent="0.35">
      <c r="C641" s="26"/>
    </row>
    <row r="642" spans="3:3" x14ac:dyDescent="0.35">
      <c r="C642" s="26"/>
    </row>
    <row r="643" spans="3:3" x14ac:dyDescent="0.35">
      <c r="C643" s="26"/>
    </row>
    <row r="644" spans="3:3" x14ac:dyDescent="0.35">
      <c r="C644" s="26"/>
    </row>
    <row r="645" spans="3:3" x14ac:dyDescent="0.35">
      <c r="C645" s="26"/>
    </row>
    <row r="646" spans="3:3" x14ac:dyDescent="0.35">
      <c r="C646" s="26"/>
    </row>
    <row r="647" spans="3:3" x14ac:dyDescent="0.35">
      <c r="C647" s="26"/>
    </row>
    <row r="648" spans="3:3" x14ac:dyDescent="0.35">
      <c r="C648" s="26"/>
    </row>
    <row r="649" spans="3:3" x14ac:dyDescent="0.35">
      <c r="C649" s="26"/>
    </row>
    <row r="650" spans="3:3" x14ac:dyDescent="0.35">
      <c r="C650" s="26"/>
    </row>
    <row r="651" spans="3:3" x14ac:dyDescent="0.35">
      <c r="C651" s="26"/>
    </row>
    <row r="652" spans="3:3" x14ac:dyDescent="0.35">
      <c r="C652" s="26"/>
    </row>
    <row r="653" spans="3:3" x14ac:dyDescent="0.35">
      <c r="C653" s="26"/>
    </row>
    <row r="654" spans="3:3" x14ac:dyDescent="0.35">
      <c r="C654" s="26"/>
    </row>
    <row r="655" spans="3:3" x14ac:dyDescent="0.35">
      <c r="C655" s="26"/>
    </row>
    <row r="656" spans="3:3" x14ac:dyDescent="0.35">
      <c r="C656" s="26"/>
    </row>
    <row r="657" spans="3:3" x14ac:dyDescent="0.35">
      <c r="C657" s="26"/>
    </row>
    <row r="658" spans="3:3" x14ac:dyDescent="0.35">
      <c r="C658" s="26"/>
    </row>
    <row r="659" spans="3:3" x14ac:dyDescent="0.35">
      <c r="C659" s="26"/>
    </row>
    <row r="660" spans="3:3" x14ac:dyDescent="0.35">
      <c r="C660" s="26"/>
    </row>
    <row r="661" spans="3:3" x14ac:dyDescent="0.35">
      <c r="C661" s="26"/>
    </row>
    <row r="662" spans="3:3" x14ac:dyDescent="0.35">
      <c r="C662" s="26"/>
    </row>
    <row r="663" spans="3:3" x14ac:dyDescent="0.35">
      <c r="C663" s="26"/>
    </row>
    <row r="664" spans="3:3" x14ac:dyDescent="0.35">
      <c r="C664" s="26"/>
    </row>
  </sheetData>
  <printOptions headings="1" gridLines="1"/>
  <pageMargins left="0.7" right="0.7" top="0.75" bottom="0.75" header="0.3" footer="0.3"/>
  <pageSetup paperSize="3" scale="93" fitToHeight="0" orientation="landscape" r:id="rId1"/>
  <rowBreaks count="2" manualBreakCount="2">
    <brk id="128" max="21" man="1"/>
    <brk id="192" max="16383" man="1"/>
  </rowBreaks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EBC29-F788-4061-8F83-272F76D88FDA}">
  <sheetPr>
    <pageSetUpPr fitToPage="1"/>
  </sheetPr>
  <dimension ref="A1:Y130"/>
  <sheetViews>
    <sheetView tabSelected="1" workbookViewId="0">
      <pane xSplit="2" ySplit="1" topLeftCell="C104" activePane="bottomRight" state="frozen"/>
      <selection pane="topRight" activeCell="C1" sqref="C1"/>
      <selection pane="bottomLeft" activeCell="A2" sqref="A2"/>
      <selection pane="bottomRight" activeCell="W1" sqref="W1:Z1048576"/>
    </sheetView>
  </sheetViews>
  <sheetFormatPr defaultRowHeight="14.5" x14ac:dyDescent="0.35"/>
  <cols>
    <col min="1" max="1" width="18.08984375" customWidth="1"/>
    <col min="2" max="2" width="36.453125" customWidth="1"/>
    <col min="3" max="3" width="16.36328125" hidden="1" customWidth="1"/>
    <col min="4" max="4" width="14.6328125" hidden="1" customWidth="1"/>
    <col min="5" max="5" width="13.36328125" hidden="1" customWidth="1"/>
    <col min="6" max="6" width="0" hidden="1" customWidth="1"/>
    <col min="7" max="7" width="16.90625" hidden="1" customWidth="1"/>
    <col min="8" max="8" width="13.08984375" hidden="1" customWidth="1"/>
    <col min="9" max="9" width="18.6328125" customWidth="1"/>
    <col min="10" max="10" width="18.54296875" hidden="1" customWidth="1"/>
    <col min="11" max="11" width="20.6328125" hidden="1" customWidth="1"/>
    <col min="12" max="12" width="20.1796875" hidden="1" customWidth="1"/>
    <col min="13" max="13" width="22" hidden="1" customWidth="1"/>
    <col min="14" max="14" width="20.90625" hidden="1" customWidth="1"/>
    <col min="15" max="15" width="21.6328125" hidden="1" customWidth="1"/>
    <col min="16" max="16" width="15.54296875" customWidth="1"/>
    <col min="17" max="17" width="15.1796875" hidden="1" customWidth="1"/>
    <col min="18" max="19" width="15.1796875" style="84" hidden="1" customWidth="1"/>
    <col min="20" max="20" width="15.1796875" hidden="1" customWidth="1"/>
    <col min="21" max="21" width="18" customWidth="1"/>
    <col min="23" max="24" width="0" hidden="1" customWidth="1"/>
    <col min="25" max="25" width="11" hidden="1" customWidth="1"/>
    <col min="26" max="26" width="0" hidden="1" customWidth="1"/>
  </cols>
  <sheetData>
    <row r="1" spans="1:23" x14ac:dyDescent="0.35">
      <c r="A1" s="83"/>
      <c r="B1" s="3"/>
      <c r="C1" s="19" t="s">
        <v>637</v>
      </c>
      <c r="D1" s="19" t="s">
        <v>712</v>
      </c>
      <c r="E1" s="19" t="s">
        <v>713</v>
      </c>
      <c r="F1" s="19" t="s">
        <v>508</v>
      </c>
      <c r="G1" s="19" t="s">
        <v>638</v>
      </c>
      <c r="H1" s="19" t="s">
        <v>714</v>
      </c>
      <c r="I1" s="19" t="s">
        <v>715</v>
      </c>
      <c r="J1" s="19" t="s">
        <v>716</v>
      </c>
      <c r="K1" s="19" t="s">
        <v>717</v>
      </c>
      <c r="L1" s="19" t="s">
        <v>508</v>
      </c>
      <c r="M1" s="19" t="s">
        <v>718</v>
      </c>
      <c r="N1" s="19" t="s">
        <v>723</v>
      </c>
      <c r="P1" s="19" t="s">
        <v>825</v>
      </c>
      <c r="R1" s="90">
        <v>45327</v>
      </c>
      <c r="S1" s="102">
        <v>45364</v>
      </c>
      <c r="T1" s="102">
        <v>45364</v>
      </c>
      <c r="U1" s="87" t="s">
        <v>779</v>
      </c>
    </row>
    <row r="2" spans="1:23" ht="15.5" x14ac:dyDescent="0.35">
      <c r="A2" s="13" t="s">
        <v>550</v>
      </c>
      <c r="R2" s="84" t="s">
        <v>741</v>
      </c>
      <c r="S2" s="103" t="s">
        <v>741</v>
      </c>
      <c r="T2" s="87" t="s">
        <v>777</v>
      </c>
      <c r="U2" s="87" t="s">
        <v>778</v>
      </c>
    </row>
    <row r="3" spans="1:23" x14ac:dyDescent="0.35">
      <c r="A3" t="s">
        <v>551</v>
      </c>
      <c r="B3" s="2" t="s">
        <v>552</v>
      </c>
      <c r="C3" s="45">
        <v>2660000</v>
      </c>
      <c r="D3" s="45"/>
      <c r="E3" s="45">
        <f>SUM(C3:D3)</f>
        <v>2660000</v>
      </c>
      <c r="F3" s="45"/>
      <c r="G3" s="46">
        <f>(565079571/100)*0.45</f>
        <v>2542858.0695000002</v>
      </c>
      <c r="H3" s="46"/>
      <c r="I3" s="46">
        <v>2542858</v>
      </c>
      <c r="J3" s="47">
        <v>2675349</v>
      </c>
      <c r="K3" s="48">
        <f>920265903/100*0.35</f>
        <v>3220930.6604999998</v>
      </c>
      <c r="L3" s="49" t="s">
        <v>553</v>
      </c>
      <c r="M3" s="48">
        <f>912000000/100*0.35</f>
        <v>3192000</v>
      </c>
      <c r="P3" s="86">
        <f>M3+N3</f>
        <v>3192000</v>
      </c>
      <c r="R3" s="84">
        <v>3238665</v>
      </c>
      <c r="S3" s="84">
        <v>3278837</v>
      </c>
      <c r="T3">
        <v>102.7</v>
      </c>
      <c r="U3" s="92">
        <f>(911000000+40000000)/100*0.35</f>
        <v>3328500</v>
      </c>
    </row>
    <row r="4" spans="1:23" x14ac:dyDescent="0.35">
      <c r="A4" t="s">
        <v>554</v>
      </c>
      <c r="B4" t="s">
        <v>555</v>
      </c>
      <c r="C4" s="45">
        <v>2500</v>
      </c>
      <c r="D4" s="45"/>
      <c r="E4" s="45">
        <f>SUM(C4:D4)</f>
        <v>2500</v>
      </c>
      <c r="F4" s="45"/>
      <c r="G4" s="50">
        <v>2500</v>
      </c>
      <c r="H4" s="50"/>
      <c r="I4" s="50">
        <v>2500</v>
      </c>
      <c r="J4" s="51">
        <v>4400</v>
      </c>
      <c r="K4" s="50">
        <v>3000</v>
      </c>
      <c r="L4" s="50"/>
      <c r="M4" s="50">
        <v>4500</v>
      </c>
      <c r="P4" s="86">
        <f t="shared" ref="P4:P75" si="0">M4+N4</f>
        <v>4500</v>
      </c>
      <c r="R4" s="84">
        <v>112</v>
      </c>
      <c r="S4" s="84">
        <v>1.76</v>
      </c>
      <c r="T4">
        <v>0.03</v>
      </c>
      <c r="U4" s="92">
        <v>4500</v>
      </c>
      <c r="W4" t="s">
        <v>782</v>
      </c>
    </row>
    <row r="5" spans="1:23" x14ac:dyDescent="0.35">
      <c r="A5" t="s">
        <v>556</v>
      </c>
      <c r="B5" t="s">
        <v>557</v>
      </c>
      <c r="C5" s="45"/>
      <c r="D5" s="45"/>
      <c r="E5" s="45"/>
      <c r="F5" s="45"/>
      <c r="G5" s="50">
        <v>1500</v>
      </c>
      <c r="H5" s="50"/>
      <c r="I5" s="50">
        <v>1500</v>
      </c>
      <c r="J5" s="51">
        <v>1568</v>
      </c>
      <c r="K5" s="50">
        <v>1500</v>
      </c>
      <c r="L5" s="50"/>
      <c r="M5" s="50">
        <v>1500</v>
      </c>
      <c r="P5" s="86">
        <f t="shared" si="0"/>
        <v>1500</v>
      </c>
      <c r="R5" s="84">
        <v>1364</v>
      </c>
      <c r="S5" s="84">
        <v>1658</v>
      </c>
      <c r="T5">
        <v>110.5</v>
      </c>
      <c r="U5" s="92">
        <v>1500</v>
      </c>
    </row>
    <row r="6" spans="1:23" x14ac:dyDescent="0.35">
      <c r="A6" t="s">
        <v>558</v>
      </c>
      <c r="B6" t="s">
        <v>559</v>
      </c>
      <c r="C6" s="45">
        <v>3000</v>
      </c>
      <c r="D6" s="45"/>
      <c r="E6" s="45">
        <f t="shared" ref="E6:E15" si="1">SUM(C6:D6)</f>
        <v>3000</v>
      </c>
      <c r="F6" s="45"/>
      <c r="G6" s="50">
        <v>1500</v>
      </c>
      <c r="H6" s="50"/>
      <c r="I6" s="50">
        <v>1500</v>
      </c>
      <c r="J6" s="51">
        <v>2558</v>
      </c>
      <c r="K6" s="50">
        <v>1500</v>
      </c>
      <c r="L6" s="50"/>
      <c r="M6" s="50">
        <v>2500</v>
      </c>
      <c r="P6" s="86">
        <f t="shared" si="0"/>
        <v>2500</v>
      </c>
      <c r="R6" s="84">
        <v>1830</v>
      </c>
      <c r="S6" s="84">
        <v>3097</v>
      </c>
      <c r="T6">
        <v>124</v>
      </c>
      <c r="U6" s="92">
        <v>2500</v>
      </c>
    </row>
    <row r="7" spans="1:23" x14ac:dyDescent="0.35">
      <c r="A7" t="s">
        <v>560</v>
      </c>
      <c r="B7" s="52" t="s">
        <v>561</v>
      </c>
      <c r="C7" s="45">
        <v>-6500</v>
      </c>
      <c r="D7" s="45"/>
      <c r="E7" s="45">
        <f t="shared" si="1"/>
        <v>-6500</v>
      </c>
      <c r="F7" s="45"/>
      <c r="G7" s="50">
        <v>-6500</v>
      </c>
      <c r="H7" s="50"/>
      <c r="I7" s="50">
        <v>-6500</v>
      </c>
      <c r="J7" s="51">
        <v>-6423</v>
      </c>
      <c r="K7" s="50">
        <v>-6500</v>
      </c>
      <c r="L7" s="50"/>
      <c r="M7" s="50">
        <v>-10000</v>
      </c>
      <c r="P7" s="86">
        <f t="shared" si="0"/>
        <v>-10000</v>
      </c>
      <c r="R7" s="84">
        <v>-5143</v>
      </c>
      <c r="S7" s="84">
        <v>-6205</v>
      </c>
      <c r="T7">
        <v>62</v>
      </c>
      <c r="U7" s="92">
        <v>-10000</v>
      </c>
    </row>
    <row r="8" spans="1:23" x14ac:dyDescent="0.35">
      <c r="A8" t="s">
        <v>562</v>
      </c>
      <c r="B8" t="s">
        <v>563</v>
      </c>
      <c r="C8" s="45">
        <v>-9200</v>
      </c>
      <c r="D8" s="45"/>
      <c r="E8" s="45">
        <f t="shared" si="1"/>
        <v>-9200</v>
      </c>
      <c r="F8" s="45"/>
      <c r="G8" s="50">
        <v>-9200</v>
      </c>
      <c r="H8" s="50"/>
      <c r="I8" s="50">
        <v>-9200</v>
      </c>
      <c r="J8" s="51">
        <v>-9853</v>
      </c>
      <c r="K8" s="50">
        <v>-10000</v>
      </c>
      <c r="L8" s="50"/>
      <c r="M8" s="50">
        <v>-10000</v>
      </c>
      <c r="P8" s="86">
        <f t="shared" si="0"/>
        <v>-10000</v>
      </c>
      <c r="R8" s="84">
        <v>-10914</v>
      </c>
      <c r="S8" s="84">
        <v>-10914</v>
      </c>
      <c r="T8">
        <v>109</v>
      </c>
      <c r="U8" s="92">
        <v>-10000</v>
      </c>
    </row>
    <row r="9" spans="1:23" x14ac:dyDescent="0.35">
      <c r="A9" t="s">
        <v>564</v>
      </c>
      <c r="B9" t="s">
        <v>565</v>
      </c>
      <c r="C9" s="45">
        <v>3300000</v>
      </c>
      <c r="D9" s="45"/>
      <c r="E9" s="45">
        <f t="shared" si="1"/>
        <v>3300000</v>
      </c>
      <c r="F9" s="45"/>
      <c r="G9" s="50">
        <v>3400000</v>
      </c>
      <c r="H9" s="50"/>
      <c r="I9" s="50">
        <v>3400000</v>
      </c>
      <c r="J9" s="51">
        <v>2650862</v>
      </c>
      <c r="K9" s="50">
        <v>3450000</v>
      </c>
      <c r="L9" s="50"/>
      <c r="M9" s="50">
        <v>3450000</v>
      </c>
      <c r="P9" s="86">
        <f t="shared" si="0"/>
        <v>3450000</v>
      </c>
      <c r="R9" s="84">
        <v>1363578</v>
      </c>
      <c r="S9" s="84">
        <v>2035435</v>
      </c>
      <c r="T9">
        <v>59</v>
      </c>
      <c r="U9" s="92">
        <v>3600000</v>
      </c>
    </row>
    <row r="10" spans="1:23" x14ac:dyDescent="0.35">
      <c r="A10" t="s">
        <v>566</v>
      </c>
      <c r="B10" s="53" t="s">
        <v>567</v>
      </c>
      <c r="C10" s="45">
        <v>8500</v>
      </c>
      <c r="D10" s="45"/>
      <c r="E10" s="45">
        <f t="shared" si="1"/>
        <v>8500</v>
      </c>
      <c r="F10" s="45"/>
      <c r="G10" s="50">
        <v>8500</v>
      </c>
      <c r="H10" s="50"/>
      <c r="I10" s="50">
        <v>8500</v>
      </c>
      <c r="J10" s="51">
        <v>6632</v>
      </c>
      <c r="K10" s="50">
        <v>8500</v>
      </c>
      <c r="L10" s="50"/>
      <c r="M10" s="50">
        <v>9000</v>
      </c>
      <c r="P10" s="86">
        <f t="shared" si="0"/>
        <v>9000</v>
      </c>
      <c r="R10" s="84">
        <v>4534</v>
      </c>
      <c r="S10" s="84">
        <v>6824</v>
      </c>
      <c r="T10">
        <v>76</v>
      </c>
      <c r="U10" s="92">
        <v>9000</v>
      </c>
    </row>
    <row r="11" spans="1:23" x14ac:dyDescent="0.35">
      <c r="A11" t="s">
        <v>568</v>
      </c>
      <c r="B11" s="54" t="s">
        <v>569</v>
      </c>
      <c r="C11" s="45">
        <v>550</v>
      </c>
      <c r="D11" s="45"/>
      <c r="E11" s="45">
        <f t="shared" si="1"/>
        <v>550</v>
      </c>
      <c r="F11" s="45"/>
      <c r="G11" s="50">
        <v>550</v>
      </c>
      <c r="H11" s="50"/>
      <c r="I11" s="50">
        <v>550</v>
      </c>
      <c r="J11" s="51">
        <v>0</v>
      </c>
      <c r="K11" s="48">
        <v>550</v>
      </c>
      <c r="L11" s="48"/>
      <c r="M11" s="48">
        <v>550</v>
      </c>
      <c r="P11" s="86">
        <f t="shared" si="0"/>
        <v>550</v>
      </c>
      <c r="R11" s="84">
        <v>0</v>
      </c>
      <c r="S11" s="84">
        <v>0</v>
      </c>
      <c r="T11">
        <v>0</v>
      </c>
      <c r="U11" s="92">
        <v>550</v>
      </c>
    </row>
    <row r="12" spans="1:23" x14ac:dyDescent="0.35">
      <c r="A12" t="s">
        <v>570</v>
      </c>
      <c r="B12" s="52" t="s">
        <v>571</v>
      </c>
      <c r="C12" s="45">
        <v>305000</v>
      </c>
      <c r="D12" s="45"/>
      <c r="E12" s="45">
        <f t="shared" si="1"/>
        <v>305000</v>
      </c>
      <c r="F12" s="45"/>
      <c r="G12" s="50">
        <v>305000</v>
      </c>
      <c r="H12" s="50"/>
      <c r="I12" s="50">
        <v>305000</v>
      </c>
      <c r="J12" s="51">
        <v>202770</v>
      </c>
      <c r="K12" s="48">
        <v>315000</v>
      </c>
      <c r="L12" s="48"/>
      <c r="M12" s="48">
        <v>315000</v>
      </c>
      <c r="P12" s="86">
        <f t="shared" si="0"/>
        <v>315000</v>
      </c>
      <c r="R12" s="84">
        <v>157314</v>
      </c>
      <c r="S12" s="84">
        <v>184706</v>
      </c>
      <c r="T12">
        <v>59</v>
      </c>
      <c r="U12" s="92">
        <v>315000</v>
      </c>
    </row>
    <row r="13" spans="1:23" x14ac:dyDescent="0.35">
      <c r="A13" t="s">
        <v>572</v>
      </c>
      <c r="B13" s="55" t="s">
        <v>573</v>
      </c>
      <c r="C13" s="45">
        <v>1500</v>
      </c>
      <c r="D13" s="45"/>
      <c r="E13" s="45">
        <f t="shared" si="1"/>
        <v>1500</v>
      </c>
      <c r="F13" s="45"/>
      <c r="G13" s="50">
        <v>1500</v>
      </c>
      <c r="H13" s="50">
        <f>70000+48000</f>
        <v>118000</v>
      </c>
      <c r="I13" s="50">
        <f>SUM(G13:H13)</f>
        <v>119500</v>
      </c>
      <c r="J13" s="51">
        <v>0</v>
      </c>
      <c r="K13" s="50">
        <v>1500</v>
      </c>
      <c r="L13" s="50"/>
      <c r="M13" s="50">
        <v>101500</v>
      </c>
      <c r="P13" s="86">
        <f t="shared" si="0"/>
        <v>101500</v>
      </c>
      <c r="R13" s="84">
        <v>34876</v>
      </c>
      <c r="S13" s="84">
        <v>34876</v>
      </c>
      <c r="T13">
        <v>34</v>
      </c>
      <c r="U13" s="92">
        <v>0</v>
      </c>
    </row>
    <row r="14" spans="1:23" x14ac:dyDescent="0.35">
      <c r="A14" t="s">
        <v>574</v>
      </c>
      <c r="B14" s="53" t="s">
        <v>575</v>
      </c>
      <c r="C14" s="45">
        <v>54000</v>
      </c>
      <c r="D14" s="45"/>
      <c r="E14" s="45">
        <f t="shared" si="1"/>
        <v>54000</v>
      </c>
      <c r="F14" s="45"/>
      <c r="G14" s="50">
        <v>54000</v>
      </c>
      <c r="H14" s="50"/>
      <c r="I14" s="50">
        <v>54000</v>
      </c>
      <c r="J14" s="51">
        <v>0</v>
      </c>
      <c r="K14" s="50">
        <v>54000</v>
      </c>
      <c r="L14" s="50"/>
      <c r="M14" s="50">
        <v>54000</v>
      </c>
      <c r="P14" s="86">
        <f t="shared" si="0"/>
        <v>54000</v>
      </c>
      <c r="R14" s="84">
        <v>0</v>
      </c>
      <c r="S14" s="84">
        <v>0</v>
      </c>
      <c r="T14">
        <v>0</v>
      </c>
      <c r="U14" s="92">
        <v>54000</v>
      </c>
    </row>
    <row r="15" spans="1:23" x14ac:dyDescent="0.35">
      <c r="A15" t="s">
        <v>576</v>
      </c>
      <c r="B15" s="53" t="s">
        <v>577</v>
      </c>
      <c r="C15" s="45">
        <v>450000</v>
      </c>
      <c r="D15" s="45"/>
      <c r="E15" s="45">
        <f t="shared" si="1"/>
        <v>450000</v>
      </c>
      <c r="F15" s="45"/>
      <c r="G15" s="50">
        <v>450000</v>
      </c>
      <c r="H15" s="50"/>
      <c r="I15" s="50">
        <v>450000</v>
      </c>
      <c r="J15" s="51">
        <v>119574</v>
      </c>
      <c r="K15" s="48">
        <v>450000</v>
      </c>
      <c r="L15" s="48"/>
      <c r="M15" s="48">
        <v>450000</v>
      </c>
      <c r="P15" s="86">
        <f t="shared" si="0"/>
        <v>450000</v>
      </c>
      <c r="R15" s="84">
        <v>118031</v>
      </c>
      <c r="S15" s="84">
        <v>118031</v>
      </c>
      <c r="T15">
        <v>26</v>
      </c>
      <c r="U15" s="92">
        <v>450000</v>
      </c>
    </row>
    <row r="16" spans="1:23" x14ac:dyDescent="0.35">
      <c r="A16" t="s">
        <v>578</v>
      </c>
      <c r="B16" s="56" t="s">
        <v>579</v>
      </c>
      <c r="C16" s="45"/>
      <c r="D16" s="45"/>
      <c r="E16" s="45"/>
      <c r="F16" s="45"/>
      <c r="G16" s="50"/>
      <c r="H16" s="50">
        <v>70000</v>
      </c>
      <c r="I16" s="50"/>
      <c r="J16" s="51">
        <v>70000</v>
      </c>
      <c r="K16" s="48">
        <v>70000</v>
      </c>
      <c r="L16" s="48"/>
      <c r="M16" s="48">
        <v>70000</v>
      </c>
      <c r="N16" s="48">
        <v>5000</v>
      </c>
      <c r="P16" s="86">
        <f t="shared" si="0"/>
        <v>75000</v>
      </c>
      <c r="R16" s="84">
        <v>75000</v>
      </c>
      <c r="S16" s="84">
        <v>75</v>
      </c>
      <c r="T16">
        <v>100</v>
      </c>
      <c r="U16" s="92">
        <v>75000</v>
      </c>
    </row>
    <row r="17" spans="1:25" x14ac:dyDescent="0.35">
      <c r="A17" t="s">
        <v>580</v>
      </c>
      <c r="B17" s="55" t="s">
        <v>581</v>
      </c>
      <c r="C17" s="45">
        <v>0</v>
      </c>
      <c r="D17" s="45"/>
      <c r="E17" s="45">
        <f t="shared" ref="E17:E22" si="2">SUM(C17:D17)</f>
        <v>0</v>
      </c>
      <c r="F17" s="45"/>
      <c r="G17" s="50">
        <v>0</v>
      </c>
      <c r="H17" s="50"/>
      <c r="I17" s="50">
        <v>0</v>
      </c>
      <c r="J17" s="51"/>
      <c r="K17" s="50">
        <v>0</v>
      </c>
      <c r="L17" s="50"/>
      <c r="M17" s="50">
        <v>0</v>
      </c>
      <c r="P17" s="86">
        <f t="shared" si="0"/>
        <v>0</v>
      </c>
      <c r="U17" s="92">
        <v>0</v>
      </c>
    </row>
    <row r="18" spans="1:25" x14ac:dyDescent="0.35">
      <c r="A18" t="s">
        <v>582</v>
      </c>
      <c r="B18" s="55" t="s">
        <v>583</v>
      </c>
      <c r="C18" s="45">
        <v>5000</v>
      </c>
      <c r="D18" s="45"/>
      <c r="E18" s="45">
        <f t="shared" si="2"/>
        <v>5000</v>
      </c>
      <c r="F18" s="45"/>
      <c r="G18" s="50">
        <v>10000</v>
      </c>
      <c r="H18" s="50"/>
      <c r="I18" s="50">
        <v>10000</v>
      </c>
      <c r="J18" s="51">
        <v>188000</v>
      </c>
      <c r="K18" s="48">
        <v>170000</v>
      </c>
      <c r="L18" s="48"/>
      <c r="M18" s="48">
        <v>215000</v>
      </c>
      <c r="P18" s="86">
        <f t="shared" si="0"/>
        <v>215000</v>
      </c>
      <c r="R18" s="84">
        <v>297707</v>
      </c>
      <c r="S18" s="84">
        <v>353194</v>
      </c>
      <c r="T18">
        <v>164</v>
      </c>
      <c r="U18" s="92">
        <v>300000</v>
      </c>
    </row>
    <row r="19" spans="1:25" x14ac:dyDescent="0.35">
      <c r="A19" t="s">
        <v>584</v>
      </c>
      <c r="B19" s="57" t="s">
        <v>585</v>
      </c>
      <c r="C19" s="45">
        <v>7500</v>
      </c>
      <c r="D19" s="45"/>
      <c r="E19" s="45">
        <f t="shared" si="2"/>
        <v>7500</v>
      </c>
      <c r="F19" s="45"/>
      <c r="G19" s="50">
        <v>177650</v>
      </c>
      <c r="H19" s="50"/>
      <c r="I19" s="50">
        <v>177650</v>
      </c>
      <c r="J19" s="51">
        <v>7650</v>
      </c>
      <c r="K19" s="50">
        <v>7800</v>
      </c>
      <c r="L19" s="50"/>
      <c r="M19" s="50">
        <v>7800</v>
      </c>
      <c r="P19" s="86">
        <f t="shared" si="0"/>
        <v>7800</v>
      </c>
      <c r="R19" s="84">
        <v>7800</v>
      </c>
      <c r="S19" s="84">
        <v>7800</v>
      </c>
      <c r="T19">
        <v>100</v>
      </c>
      <c r="U19" s="92">
        <f>7800*1.02</f>
        <v>7956</v>
      </c>
    </row>
    <row r="20" spans="1:25" x14ac:dyDescent="0.35">
      <c r="A20" t="s">
        <v>586</v>
      </c>
      <c r="B20" s="54" t="s">
        <v>587</v>
      </c>
      <c r="C20" s="45">
        <v>10000</v>
      </c>
      <c r="D20" s="45"/>
      <c r="E20" s="45">
        <f t="shared" si="2"/>
        <v>10000</v>
      </c>
      <c r="F20" s="45"/>
      <c r="G20" s="50">
        <v>10000</v>
      </c>
      <c r="H20" s="50"/>
      <c r="I20" s="50">
        <v>10000</v>
      </c>
      <c r="J20" s="51">
        <v>600</v>
      </c>
      <c r="K20" s="50">
        <v>10000</v>
      </c>
      <c r="L20" s="50"/>
      <c r="M20" s="50">
        <v>10000</v>
      </c>
      <c r="P20" s="86">
        <f t="shared" si="0"/>
        <v>10000</v>
      </c>
      <c r="R20" s="84">
        <v>0</v>
      </c>
      <c r="S20" s="84">
        <v>32615</v>
      </c>
      <c r="T20">
        <v>326</v>
      </c>
      <c r="U20" s="92">
        <v>48500</v>
      </c>
    </row>
    <row r="21" spans="1:25" x14ac:dyDescent="0.35">
      <c r="A21" t="s">
        <v>588</v>
      </c>
      <c r="B21" s="54" t="s">
        <v>589</v>
      </c>
      <c r="C21" s="45">
        <v>10000</v>
      </c>
      <c r="D21" s="45"/>
      <c r="E21" s="45">
        <f t="shared" si="2"/>
        <v>10000</v>
      </c>
      <c r="F21" s="45"/>
      <c r="G21" s="50">
        <v>10000</v>
      </c>
      <c r="H21" s="50"/>
      <c r="I21" s="50">
        <v>10000</v>
      </c>
      <c r="J21" s="51">
        <v>5990</v>
      </c>
      <c r="K21" s="50">
        <v>10000</v>
      </c>
      <c r="L21" s="50"/>
      <c r="M21" s="50">
        <v>10000</v>
      </c>
      <c r="P21" s="86">
        <f t="shared" si="0"/>
        <v>10000</v>
      </c>
      <c r="R21" s="84">
        <v>6723</v>
      </c>
      <c r="S21" s="84">
        <v>9213</v>
      </c>
      <c r="T21">
        <v>92</v>
      </c>
      <c r="U21" s="92">
        <v>12000</v>
      </c>
    </row>
    <row r="22" spans="1:25" x14ac:dyDescent="0.35">
      <c r="A22" t="s">
        <v>590</v>
      </c>
      <c r="B22" s="54" t="s">
        <v>163</v>
      </c>
      <c r="C22" s="45">
        <v>4500</v>
      </c>
      <c r="D22" s="45"/>
      <c r="E22" s="45">
        <f t="shared" si="2"/>
        <v>4500</v>
      </c>
      <c r="F22" s="45"/>
      <c r="G22" s="50">
        <v>4500</v>
      </c>
      <c r="H22" s="50"/>
      <c r="I22" s="50">
        <v>4500</v>
      </c>
      <c r="J22" s="51">
        <v>3410</v>
      </c>
      <c r="K22" s="50">
        <v>4500</v>
      </c>
      <c r="L22" s="50"/>
      <c r="M22" s="50">
        <v>5000</v>
      </c>
      <c r="P22" s="86">
        <f t="shared" si="0"/>
        <v>5000</v>
      </c>
      <c r="R22" s="84">
        <v>5885</v>
      </c>
      <c r="S22" s="84">
        <v>6960</v>
      </c>
      <c r="T22">
        <v>139</v>
      </c>
      <c r="U22" s="92">
        <v>5000</v>
      </c>
    </row>
    <row r="23" spans="1:25" x14ac:dyDescent="0.35">
      <c r="A23" t="s">
        <v>591</v>
      </c>
      <c r="B23" s="54" t="s">
        <v>127</v>
      </c>
      <c r="C23" s="45"/>
      <c r="D23" s="45"/>
      <c r="E23" s="45"/>
      <c r="F23" s="45"/>
      <c r="G23" s="50"/>
      <c r="H23" s="50"/>
      <c r="I23" s="50"/>
      <c r="J23" s="51">
        <v>788</v>
      </c>
      <c r="K23" s="50">
        <v>2000</v>
      </c>
      <c r="L23" s="50"/>
      <c r="M23" s="50">
        <v>2000</v>
      </c>
      <c r="P23" s="86">
        <f t="shared" si="0"/>
        <v>2000</v>
      </c>
      <c r="R23" s="84">
        <v>100</v>
      </c>
      <c r="S23" s="84">
        <v>1200</v>
      </c>
      <c r="T23">
        <v>60</v>
      </c>
      <c r="U23" s="92">
        <v>1750</v>
      </c>
    </row>
    <row r="24" spans="1:25" x14ac:dyDescent="0.35">
      <c r="A24" t="s">
        <v>592</v>
      </c>
      <c r="B24" s="55" t="s">
        <v>593</v>
      </c>
      <c r="C24" s="45">
        <v>5000</v>
      </c>
      <c r="D24" s="45"/>
      <c r="E24" s="45">
        <f>SUM(C24:D24)</f>
        <v>5000</v>
      </c>
      <c r="F24" s="45"/>
      <c r="G24" s="50">
        <v>11000</v>
      </c>
      <c r="H24" s="50"/>
      <c r="I24" s="50">
        <v>11000</v>
      </c>
      <c r="J24" s="51">
        <v>7545</v>
      </c>
      <c r="K24" s="50">
        <v>11000</v>
      </c>
      <c r="L24" s="50"/>
      <c r="M24" s="50">
        <v>7000</v>
      </c>
      <c r="N24" s="50">
        <v>30000</v>
      </c>
      <c r="P24" s="86">
        <f t="shared" si="0"/>
        <v>37000</v>
      </c>
      <c r="R24" s="84">
        <v>7140</v>
      </c>
      <c r="S24" s="84">
        <v>9042</v>
      </c>
      <c r="T24">
        <v>129</v>
      </c>
      <c r="U24" s="92">
        <v>10000</v>
      </c>
    </row>
    <row r="25" spans="1:25" x14ac:dyDescent="0.35">
      <c r="B25" s="55" t="s">
        <v>594</v>
      </c>
      <c r="C25" s="45"/>
      <c r="D25" s="45"/>
      <c r="E25" s="45"/>
      <c r="F25" s="45"/>
      <c r="G25" s="50"/>
      <c r="H25" s="50"/>
      <c r="I25" s="50"/>
      <c r="J25" s="51">
        <v>0</v>
      </c>
      <c r="K25" s="50">
        <v>5000</v>
      </c>
      <c r="L25" s="50"/>
      <c r="M25" s="50">
        <v>5000</v>
      </c>
      <c r="P25" s="86">
        <f t="shared" si="0"/>
        <v>5000</v>
      </c>
      <c r="R25" s="84">
        <v>0</v>
      </c>
      <c r="S25" s="84">
        <v>0</v>
      </c>
      <c r="T25">
        <v>0</v>
      </c>
      <c r="U25" s="92">
        <v>15000</v>
      </c>
    </row>
    <row r="26" spans="1:25" x14ac:dyDescent="0.35">
      <c r="A26" t="s">
        <v>595</v>
      </c>
      <c r="B26" s="54" t="s">
        <v>596</v>
      </c>
      <c r="C26" s="45">
        <v>10000</v>
      </c>
      <c r="D26" s="45"/>
      <c r="E26" s="45">
        <f t="shared" ref="E26:E45" si="3">SUM(C26:D26)</f>
        <v>10000</v>
      </c>
      <c r="F26" s="45"/>
      <c r="G26" s="50">
        <v>10000</v>
      </c>
      <c r="H26" s="50"/>
      <c r="I26" s="50">
        <v>10000</v>
      </c>
      <c r="J26" s="51">
        <v>0</v>
      </c>
      <c r="K26" s="50">
        <v>10000</v>
      </c>
      <c r="L26" s="50"/>
      <c r="M26" s="50">
        <v>10000</v>
      </c>
      <c r="P26" s="86">
        <f t="shared" si="0"/>
        <v>10000</v>
      </c>
      <c r="R26" s="84">
        <v>6200</v>
      </c>
      <c r="S26" s="84">
        <v>6200</v>
      </c>
      <c r="T26">
        <v>62</v>
      </c>
      <c r="U26" s="92">
        <v>10000</v>
      </c>
    </row>
    <row r="27" spans="1:25" x14ac:dyDescent="0.35">
      <c r="A27" t="s">
        <v>597</v>
      </c>
      <c r="B27" s="55" t="s">
        <v>598</v>
      </c>
      <c r="C27" s="45">
        <v>1400</v>
      </c>
      <c r="D27" s="45"/>
      <c r="E27" s="45">
        <f t="shared" si="3"/>
        <v>1400</v>
      </c>
      <c r="F27" s="45"/>
      <c r="G27" s="50">
        <v>1400</v>
      </c>
      <c r="H27" s="50"/>
      <c r="I27" s="50">
        <v>1400</v>
      </c>
      <c r="J27" s="51">
        <v>1567</v>
      </c>
      <c r="K27" s="50">
        <v>1400</v>
      </c>
      <c r="L27" s="50"/>
      <c r="M27" s="50">
        <v>1750</v>
      </c>
      <c r="P27" s="86">
        <f t="shared" si="0"/>
        <v>1750</v>
      </c>
      <c r="R27" s="84">
        <v>0</v>
      </c>
      <c r="S27" s="84">
        <v>0</v>
      </c>
      <c r="T27">
        <v>0</v>
      </c>
      <c r="U27" s="92">
        <v>1750</v>
      </c>
    </row>
    <row r="28" spans="1:25" x14ac:dyDescent="0.35">
      <c r="A28" t="s">
        <v>599</v>
      </c>
      <c r="B28" s="55" t="s">
        <v>600</v>
      </c>
      <c r="C28" s="45">
        <v>5000</v>
      </c>
      <c r="D28" s="45"/>
      <c r="E28" s="45">
        <f t="shared" si="3"/>
        <v>5000</v>
      </c>
      <c r="F28" s="45"/>
      <c r="G28" s="50">
        <v>5000</v>
      </c>
      <c r="H28" s="50"/>
      <c r="I28" s="50">
        <v>5000</v>
      </c>
      <c r="J28" s="51">
        <v>7589</v>
      </c>
      <c r="K28" s="50">
        <v>5000</v>
      </c>
      <c r="L28" s="50"/>
      <c r="M28" s="58">
        <v>8000</v>
      </c>
      <c r="P28" s="86">
        <f t="shared" si="0"/>
        <v>8000</v>
      </c>
      <c r="R28" s="84">
        <v>3732</v>
      </c>
      <c r="S28" s="84">
        <v>12070</v>
      </c>
      <c r="T28">
        <v>151</v>
      </c>
      <c r="U28" s="92">
        <v>10000</v>
      </c>
      <c r="Y28" t="s">
        <v>780</v>
      </c>
    </row>
    <row r="29" spans="1:25" x14ac:dyDescent="0.35">
      <c r="A29" t="s">
        <v>601</v>
      </c>
      <c r="B29" s="55" t="s">
        <v>602</v>
      </c>
      <c r="C29" s="45">
        <v>5000</v>
      </c>
      <c r="D29" s="45"/>
      <c r="E29" s="45">
        <f t="shared" si="3"/>
        <v>5000</v>
      </c>
      <c r="F29" s="45"/>
      <c r="G29" s="50">
        <v>5000</v>
      </c>
      <c r="H29" s="50"/>
      <c r="I29" s="50">
        <v>5000</v>
      </c>
      <c r="J29" s="51">
        <v>0</v>
      </c>
      <c r="K29" s="50">
        <v>5000</v>
      </c>
      <c r="L29" s="50"/>
      <c r="M29" s="50">
        <v>5000</v>
      </c>
      <c r="P29" s="86">
        <f t="shared" si="0"/>
        <v>5000</v>
      </c>
      <c r="R29" s="84">
        <v>10289</v>
      </c>
      <c r="S29" s="84">
        <v>14314</v>
      </c>
      <c r="T29">
        <v>286</v>
      </c>
      <c r="U29" s="92">
        <v>7500</v>
      </c>
      <c r="Y29" s="91">
        <f>SUM(P44+P40+P35+P19)</f>
        <v>151936.5</v>
      </c>
    </row>
    <row r="30" spans="1:25" x14ac:dyDescent="0.35">
      <c r="A30" t="s">
        <v>603</v>
      </c>
      <c r="B30" t="s">
        <v>604</v>
      </c>
      <c r="C30" s="59">
        <v>20000</v>
      </c>
      <c r="D30" s="59"/>
      <c r="E30" s="45">
        <f t="shared" si="3"/>
        <v>20000</v>
      </c>
      <c r="F30" s="59"/>
      <c r="G30" s="46">
        <v>20000</v>
      </c>
      <c r="H30" s="46"/>
      <c r="I30" s="46">
        <v>20000</v>
      </c>
      <c r="J30" s="47">
        <v>0</v>
      </c>
      <c r="K30" s="46">
        <v>0</v>
      </c>
      <c r="L30" s="46"/>
      <c r="M30" s="46">
        <v>0</v>
      </c>
      <c r="P30" s="86">
        <f t="shared" si="0"/>
        <v>0</v>
      </c>
      <c r="R30" s="84">
        <v>0</v>
      </c>
      <c r="U30" s="92">
        <v>20000</v>
      </c>
    </row>
    <row r="31" spans="1:25" x14ac:dyDescent="0.35">
      <c r="A31" t="s">
        <v>605</v>
      </c>
      <c r="B31" t="s">
        <v>606</v>
      </c>
      <c r="C31" s="45">
        <v>372357</v>
      </c>
      <c r="D31" s="45">
        <f>285000+61000</f>
        <v>346000</v>
      </c>
      <c r="E31" s="45">
        <f t="shared" si="3"/>
        <v>718357</v>
      </c>
      <c r="F31" s="60" t="s">
        <v>607</v>
      </c>
      <c r="G31" s="46">
        <f>500000+245000+80000+193750+100000+25000+200000+127000+75000-19094.24-25247</f>
        <v>1501408.76</v>
      </c>
      <c r="H31" s="46">
        <f>36300+12000</f>
        <v>48300</v>
      </c>
      <c r="I31" s="46">
        <f>SUM(G31:H31)</f>
        <v>1549708.76</v>
      </c>
      <c r="J31" s="47">
        <v>0</v>
      </c>
      <c r="K31" s="48">
        <v>1423000</v>
      </c>
      <c r="L31" s="48"/>
      <c r="M31" s="48">
        <v>1324696</v>
      </c>
      <c r="N31">
        <f>37000+9512+500000+7012.5+42000+171192+125092</f>
        <v>891808.5</v>
      </c>
      <c r="P31" s="86">
        <f t="shared" si="0"/>
        <v>2216504.5</v>
      </c>
      <c r="R31" s="84">
        <v>0</v>
      </c>
      <c r="S31" s="84">
        <v>0</v>
      </c>
      <c r="T31">
        <v>0</v>
      </c>
      <c r="U31" s="92">
        <f>500000+50000+50000+88000+70000+15000+180000+100000+200000+347000-6</f>
        <v>1599994</v>
      </c>
      <c r="Y31" t="s">
        <v>781</v>
      </c>
    </row>
    <row r="32" spans="1:25" x14ac:dyDescent="0.35">
      <c r="A32" t="s">
        <v>608</v>
      </c>
      <c r="B32" s="55" t="s">
        <v>609</v>
      </c>
      <c r="C32" s="45">
        <v>1000</v>
      </c>
      <c r="D32" s="45"/>
      <c r="E32" s="45">
        <f t="shared" si="3"/>
        <v>1000</v>
      </c>
      <c r="F32" s="45"/>
      <c r="G32" s="50">
        <v>33000</v>
      </c>
      <c r="H32" s="50"/>
      <c r="I32" s="50">
        <v>33000</v>
      </c>
      <c r="J32" s="51">
        <v>3600</v>
      </c>
      <c r="K32" s="50">
        <v>1000</v>
      </c>
      <c r="L32" s="50"/>
      <c r="M32" s="50">
        <v>1000</v>
      </c>
      <c r="P32" s="86">
        <f t="shared" si="0"/>
        <v>1000</v>
      </c>
      <c r="R32" s="84">
        <v>146772</v>
      </c>
      <c r="S32" s="84">
        <v>146772</v>
      </c>
      <c r="U32" s="92">
        <v>1000</v>
      </c>
      <c r="Y32" s="92">
        <f>SUM(U44+U35+U19+U40)</f>
        <v>160754</v>
      </c>
    </row>
    <row r="33" spans="1:23" x14ac:dyDescent="0.35">
      <c r="A33" t="s">
        <v>610</v>
      </c>
      <c r="B33" s="55" t="s">
        <v>611</v>
      </c>
      <c r="C33" s="45">
        <v>0</v>
      </c>
      <c r="D33" s="45"/>
      <c r="E33" s="45">
        <f t="shared" si="3"/>
        <v>0</v>
      </c>
      <c r="F33" s="45"/>
      <c r="G33" s="50"/>
      <c r="H33" s="50"/>
      <c r="I33" s="50">
        <v>0</v>
      </c>
      <c r="J33" s="51">
        <v>0</v>
      </c>
      <c r="K33" s="48">
        <v>0</v>
      </c>
      <c r="L33" s="48"/>
      <c r="M33" s="48">
        <v>0</v>
      </c>
      <c r="P33" s="86">
        <f t="shared" si="0"/>
        <v>0</v>
      </c>
      <c r="U33" s="92">
        <v>0</v>
      </c>
    </row>
    <row r="34" spans="1:23" x14ac:dyDescent="0.35">
      <c r="A34" t="s">
        <v>612</v>
      </c>
      <c r="B34" s="54" t="s">
        <v>613</v>
      </c>
      <c r="C34" s="45">
        <v>7500</v>
      </c>
      <c r="D34" s="45"/>
      <c r="E34" s="45">
        <f t="shared" si="3"/>
        <v>7500</v>
      </c>
      <c r="F34" s="45"/>
      <c r="G34" s="50">
        <v>7500</v>
      </c>
      <c r="H34" s="50"/>
      <c r="I34" s="50">
        <v>7500</v>
      </c>
      <c r="J34" s="51">
        <v>18950</v>
      </c>
      <c r="K34" s="50">
        <v>16500</v>
      </c>
      <c r="L34" s="50"/>
      <c r="M34" s="48">
        <v>30000</v>
      </c>
      <c r="P34" s="86">
        <f t="shared" si="0"/>
        <v>30000</v>
      </c>
      <c r="R34" s="84">
        <v>10273</v>
      </c>
      <c r="S34" s="84">
        <v>14113</v>
      </c>
      <c r="T34">
        <v>47</v>
      </c>
      <c r="U34" s="92">
        <v>22000</v>
      </c>
    </row>
    <row r="35" spans="1:23" x14ac:dyDescent="0.35">
      <c r="A35" t="s">
        <v>614</v>
      </c>
      <c r="B35" s="57" t="s">
        <v>615</v>
      </c>
      <c r="C35" s="45">
        <v>14000</v>
      </c>
      <c r="D35" s="45"/>
      <c r="E35" s="45">
        <f t="shared" si="3"/>
        <v>14000</v>
      </c>
      <c r="F35" s="45"/>
      <c r="G35" s="50">
        <v>14300</v>
      </c>
      <c r="H35" s="50"/>
      <c r="I35" s="50">
        <v>14300</v>
      </c>
      <c r="J35" s="51">
        <v>14300</v>
      </c>
      <c r="K35" s="50">
        <v>14900</v>
      </c>
      <c r="L35" s="50"/>
      <c r="M35" s="50">
        <v>14900</v>
      </c>
      <c r="P35" s="86">
        <f t="shared" si="0"/>
        <v>14900</v>
      </c>
      <c r="R35" s="84">
        <v>14900</v>
      </c>
      <c r="S35" s="84">
        <v>14900</v>
      </c>
      <c r="T35">
        <v>100</v>
      </c>
      <c r="U35" s="92">
        <f>R35*1.02</f>
        <v>15198</v>
      </c>
    </row>
    <row r="36" spans="1:23" x14ac:dyDescent="0.35">
      <c r="A36" t="s">
        <v>616</v>
      </c>
      <c r="B36" s="54" t="s">
        <v>617</v>
      </c>
      <c r="C36" s="59">
        <v>208000</v>
      </c>
      <c r="D36" s="59"/>
      <c r="E36" s="45">
        <f t="shared" si="3"/>
        <v>208000</v>
      </c>
      <c r="F36" s="59"/>
      <c r="G36" s="46">
        <f>2089*14*12</f>
        <v>350952</v>
      </c>
      <c r="H36" s="46"/>
      <c r="I36" s="46">
        <v>350952</v>
      </c>
      <c r="J36" s="47">
        <v>244675</v>
      </c>
      <c r="K36" s="48">
        <v>350000</v>
      </c>
      <c r="L36" s="48"/>
      <c r="M36" s="48">
        <v>400000</v>
      </c>
      <c r="P36" s="86">
        <f t="shared" si="0"/>
        <v>400000</v>
      </c>
      <c r="R36" s="84">
        <v>233292</v>
      </c>
      <c r="S36" s="84">
        <v>278908</v>
      </c>
      <c r="T36">
        <v>70</v>
      </c>
      <c r="U36" s="92">
        <v>400000</v>
      </c>
    </row>
    <row r="37" spans="1:23" x14ac:dyDescent="0.35">
      <c r="A37" t="s">
        <v>618</v>
      </c>
      <c r="B37" s="54" t="s">
        <v>619</v>
      </c>
      <c r="C37" s="59">
        <v>10000</v>
      </c>
      <c r="D37" s="59"/>
      <c r="E37" s="45">
        <f t="shared" si="3"/>
        <v>10000</v>
      </c>
      <c r="F37" s="59"/>
      <c r="G37" s="46">
        <v>10000</v>
      </c>
      <c r="H37" s="46"/>
      <c r="I37" s="46">
        <v>10000</v>
      </c>
      <c r="J37" s="47">
        <v>3475</v>
      </c>
      <c r="K37" s="46">
        <v>10000</v>
      </c>
      <c r="L37" s="46"/>
      <c r="M37" s="46">
        <v>10000</v>
      </c>
      <c r="P37" s="86">
        <f t="shared" si="0"/>
        <v>10000</v>
      </c>
      <c r="R37" s="84">
        <v>3925</v>
      </c>
      <c r="S37" s="84">
        <v>4625</v>
      </c>
      <c r="T37">
        <v>46.25</v>
      </c>
      <c r="U37" s="92">
        <v>9000</v>
      </c>
    </row>
    <row r="38" spans="1:23" x14ac:dyDescent="0.35">
      <c r="A38" t="s">
        <v>620</v>
      </c>
      <c r="B38" s="55" t="s">
        <v>621</v>
      </c>
      <c r="C38" s="59">
        <v>10000</v>
      </c>
      <c r="D38" s="59"/>
      <c r="E38" s="45">
        <f t="shared" si="3"/>
        <v>10000</v>
      </c>
      <c r="F38" s="61"/>
      <c r="G38" s="50">
        <v>10000</v>
      </c>
      <c r="H38" s="50"/>
      <c r="I38" s="50">
        <v>10000</v>
      </c>
      <c r="J38" s="51">
        <v>13800</v>
      </c>
      <c r="K38" s="50">
        <v>18000</v>
      </c>
      <c r="L38" s="50"/>
      <c r="M38" s="50">
        <v>15000</v>
      </c>
      <c r="P38" s="86">
        <f t="shared" si="0"/>
        <v>15000</v>
      </c>
      <c r="R38" s="84">
        <v>22800</v>
      </c>
      <c r="S38" s="84">
        <v>27600</v>
      </c>
      <c r="T38">
        <v>184</v>
      </c>
      <c r="U38" s="92">
        <v>15000</v>
      </c>
      <c r="W38" t="s">
        <v>775</v>
      </c>
    </row>
    <row r="39" spans="1:23" x14ac:dyDescent="0.35">
      <c r="A39" t="s">
        <v>622</v>
      </c>
      <c r="B39" s="54" t="s">
        <v>623</v>
      </c>
      <c r="C39" s="59">
        <v>5000</v>
      </c>
      <c r="D39" s="59"/>
      <c r="E39" s="45">
        <f t="shared" si="3"/>
        <v>5000</v>
      </c>
      <c r="F39" s="59"/>
      <c r="G39" s="46">
        <v>5000</v>
      </c>
      <c r="H39" s="46"/>
      <c r="I39" s="46">
        <v>5000</v>
      </c>
      <c r="J39" s="47">
        <v>27794</v>
      </c>
      <c r="K39" s="46">
        <v>25000</v>
      </c>
      <c r="L39" s="46"/>
      <c r="M39" s="46">
        <v>32000</v>
      </c>
      <c r="P39" s="86">
        <f t="shared" si="0"/>
        <v>32000</v>
      </c>
      <c r="R39" s="84">
        <v>17494</v>
      </c>
      <c r="S39" s="84">
        <v>21680</v>
      </c>
      <c r="T39">
        <v>67.75</v>
      </c>
      <c r="U39" s="92">
        <v>32000</v>
      </c>
    </row>
    <row r="40" spans="1:23" x14ac:dyDescent="0.35">
      <c r="A40" t="s">
        <v>624</v>
      </c>
      <c r="B40" s="57" t="s">
        <v>625</v>
      </c>
      <c r="C40" s="45">
        <v>46500</v>
      </c>
      <c r="D40" s="45"/>
      <c r="E40" s="45">
        <f t="shared" si="3"/>
        <v>46500</v>
      </c>
      <c r="F40" s="45"/>
      <c r="G40" s="50">
        <f>86072/2</f>
        <v>43036</v>
      </c>
      <c r="H40" s="50"/>
      <c r="I40" s="50">
        <v>43036</v>
      </c>
      <c r="J40" s="51">
        <v>32880</v>
      </c>
      <c r="K40" s="50">
        <f>92013/2</f>
        <v>46006.5</v>
      </c>
      <c r="L40" s="50"/>
      <c r="M40" s="50">
        <f>92013/2</f>
        <v>46006.5</v>
      </c>
      <c r="P40" s="86">
        <f t="shared" si="0"/>
        <v>46006.5</v>
      </c>
      <c r="R40" s="84">
        <v>23855</v>
      </c>
      <c r="S40" s="84">
        <v>23855</v>
      </c>
      <c r="T40">
        <v>52</v>
      </c>
      <c r="U40" s="92">
        <v>51002</v>
      </c>
    </row>
    <row r="41" spans="1:23" x14ac:dyDescent="0.35">
      <c r="A41" t="s">
        <v>626</v>
      </c>
      <c r="B41" s="62" t="s">
        <v>627</v>
      </c>
      <c r="C41" s="59">
        <v>327000</v>
      </c>
      <c r="D41" s="59"/>
      <c r="E41" s="45">
        <f t="shared" si="3"/>
        <v>327000</v>
      </c>
      <c r="F41" s="59"/>
      <c r="G41" s="46">
        <v>330000</v>
      </c>
      <c r="H41" s="46"/>
      <c r="I41" s="46">
        <v>330000</v>
      </c>
      <c r="J41" s="47">
        <v>312015</v>
      </c>
      <c r="K41" s="48">
        <f>(335427226/100)*0.11</f>
        <v>368969.9486</v>
      </c>
      <c r="L41" t="s">
        <v>628</v>
      </c>
      <c r="M41" s="63">
        <f>(425000000/100)*0.0865</f>
        <v>367625</v>
      </c>
      <c r="P41" s="86">
        <f t="shared" si="0"/>
        <v>367625</v>
      </c>
      <c r="R41" s="84">
        <v>273462</v>
      </c>
      <c r="S41" s="84">
        <v>356624</v>
      </c>
      <c r="T41">
        <v>97</v>
      </c>
      <c r="U41" s="92">
        <f>(439616421/100)*0.0865</f>
        <v>380268.20416499994</v>
      </c>
    </row>
    <row r="42" spans="1:23" x14ac:dyDescent="0.35">
      <c r="A42" t="s">
        <v>629</v>
      </c>
      <c r="B42" s="62" t="s">
        <v>630</v>
      </c>
      <c r="C42" s="45">
        <v>-750</v>
      </c>
      <c r="D42" s="45"/>
      <c r="E42" s="45">
        <f t="shared" si="3"/>
        <v>-750</v>
      </c>
      <c r="F42" s="45"/>
      <c r="G42" s="50">
        <v>-750</v>
      </c>
      <c r="H42" s="50"/>
      <c r="I42" s="50">
        <v>-750</v>
      </c>
      <c r="J42" s="51">
        <v>-703</v>
      </c>
      <c r="K42" s="50">
        <v>-2500</v>
      </c>
      <c r="L42" s="50"/>
      <c r="M42" s="50">
        <v>-1500</v>
      </c>
      <c r="P42" s="86">
        <f t="shared" si="0"/>
        <v>-1500</v>
      </c>
      <c r="S42" s="84">
        <v>-2578</v>
      </c>
      <c r="T42">
        <v>71.849999999999994</v>
      </c>
      <c r="U42" s="92">
        <v>-1500</v>
      </c>
    </row>
    <row r="43" spans="1:23" x14ac:dyDescent="0.35">
      <c r="A43" t="s">
        <v>631</v>
      </c>
      <c r="B43" s="62" t="s">
        <v>632</v>
      </c>
      <c r="C43" s="45">
        <v>500</v>
      </c>
      <c r="D43" s="45"/>
      <c r="E43" s="45">
        <f t="shared" si="3"/>
        <v>500</v>
      </c>
      <c r="F43" s="45"/>
      <c r="G43" s="50">
        <v>500</v>
      </c>
      <c r="H43" s="50"/>
      <c r="I43" s="50">
        <v>500</v>
      </c>
      <c r="J43" s="51">
        <v>568</v>
      </c>
      <c r="K43" s="50">
        <v>500</v>
      </c>
      <c r="L43" s="50"/>
      <c r="M43" s="50">
        <v>750</v>
      </c>
      <c r="P43" s="86">
        <f t="shared" si="0"/>
        <v>750</v>
      </c>
      <c r="R43" s="84">
        <v>225</v>
      </c>
      <c r="S43" s="84">
        <v>737</v>
      </c>
      <c r="T43">
        <v>98.2</v>
      </c>
      <c r="U43" s="92">
        <v>300</v>
      </c>
    </row>
    <row r="44" spans="1:23" x14ac:dyDescent="0.35">
      <c r="A44" t="s">
        <v>633</v>
      </c>
      <c r="B44" s="57" t="s">
        <v>634</v>
      </c>
      <c r="C44" s="45">
        <v>80000</v>
      </c>
      <c r="D44" s="45"/>
      <c r="E44" s="45">
        <f t="shared" si="3"/>
        <v>80000</v>
      </c>
      <c r="F44" s="45"/>
      <c r="G44" s="50">
        <v>81600</v>
      </c>
      <c r="H44" s="50"/>
      <c r="I44" s="50">
        <v>81600</v>
      </c>
      <c r="J44" s="51">
        <v>83230</v>
      </c>
      <c r="K44" s="50">
        <v>83230</v>
      </c>
      <c r="L44" s="50"/>
      <c r="M44" s="50">
        <v>83230</v>
      </c>
      <c r="P44" s="86">
        <f t="shared" si="0"/>
        <v>83230</v>
      </c>
      <c r="R44" s="84">
        <v>84900</v>
      </c>
      <c r="S44" s="84">
        <v>84900</v>
      </c>
      <c r="T44">
        <v>102</v>
      </c>
      <c r="U44" s="92">
        <f>R44*1.02</f>
        <v>86598</v>
      </c>
    </row>
    <row r="45" spans="1:23" x14ac:dyDescent="0.35">
      <c r="A45" t="s">
        <v>635</v>
      </c>
      <c r="B45" t="s">
        <v>636</v>
      </c>
      <c r="C45" s="45">
        <v>56000</v>
      </c>
      <c r="D45" s="45"/>
      <c r="E45" s="45">
        <f t="shared" si="3"/>
        <v>56000</v>
      </c>
      <c r="F45" s="45"/>
      <c r="G45" s="50">
        <v>56000</v>
      </c>
      <c r="H45" s="50"/>
      <c r="I45" s="50">
        <v>56000</v>
      </c>
      <c r="J45" s="51">
        <v>28000</v>
      </c>
      <c r="K45" s="50">
        <v>56000</v>
      </c>
      <c r="L45" s="50"/>
      <c r="M45" s="50">
        <v>56000</v>
      </c>
      <c r="P45" s="86">
        <f t="shared" si="0"/>
        <v>56000</v>
      </c>
      <c r="R45" s="84">
        <v>14000</v>
      </c>
      <c r="S45" s="84">
        <v>28000</v>
      </c>
      <c r="T45">
        <v>50</v>
      </c>
      <c r="U45" s="92">
        <v>56000</v>
      </c>
    </row>
    <row r="46" spans="1:23" x14ac:dyDescent="0.35">
      <c r="C46" s="45"/>
      <c r="D46" s="45"/>
      <c r="E46" s="45"/>
      <c r="F46" s="45"/>
      <c r="G46" s="50"/>
      <c r="H46" s="50"/>
      <c r="I46" s="50"/>
      <c r="J46" s="50"/>
      <c r="K46" s="61"/>
      <c r="P46" s="86"/>
      <c r="U46" s="92"/>
    </row>
    <row r="47" spans="1:23" ht="18.5" x14ac:dyDescent="0.45">
      <c r="B47" s="11" t="s">
        <v>384</v>
      </c>
      <c r="C47" s="64">
        <f>SUM(C3:C45)</f>
        <v>7989857</v>
      </c>
      <c r="D47" s="64">
        <f>SUM(D3:D45)</f>
        <v>346000</v>
      </c>
      <c r="E47" s="45">
        <f>SUM(C47:D47)</f>
        <v>8335857</v>
      </c>
      <c r="F47" s="64"/>
      <c r="G47" s="65">
        <f>SUM(G3:G45)</f>
        <v>9459304.8295000009</v>
      </c>
      <c r="H47" s="65">
        <f>SUM(H3:H45)</f>
        <v>236300</v>
      </c>
      <c r="I47" s="65">
        <f>SUM(G47:H47)</f>
        <v>9695604.8295000009</v>
      </c>
      <c r="J47" s="65">
        <f>SUM(J3:J46)</f>
        <v>6723160</v>
      </c>
      <c r="K47" s="66">
        <f>SUM(K3:K45)</f>
        <v>10212287.109099999</v>
      </c>
      <c r="M47" s="67">
        <f>SUM(M3:M46)</f>
        <v>10296807.5</v>
      </c>
      <c r="N47">
        <f>SUM(N3:N46)</f>
        <v>926808.5</v>
      </c>
      <c r="P47" s="86">
        <f t="shared" si="0"/>
        <v>11223616</v>
      </c>
      <c r="R47" s="84">
        <f>SUM(R3:R46)</f>
        <v>6170721</v>
      </c>
      <c r="S47" s="84">
        <f>SUM(S3:S46)</f>
        <v>7099165.7599999998</v>
      </c>
      <c r="U47" s="92">
        <f>SUM(U3:U46)</f>
        <v>10936866.204165</v>
      </c>
    </row>
    <row r="48" spans="1:23" ht="18.5" x14ac:dyDescent="0.45">
      <c r="B48" s="11"/>
      <c r="C48" s="64"/>
      <c r="D48" s="64"/>
      <c r="E48" s="45"/>
      <c r="F48" s="64"/>
      <c r="G48" s="65"/>
      <c r="H48" s="65"/>
      <c r="I48" s="65"/>
      <c r="J48" s="65"/>
      <c r="K48" s="66"/>
      <c r="M48" s="67"/>
      <c r="P48" s="86"/>
      <c r="U48" s="92"/>
    </row>
    <row r="49" spans="1:21" ht="18.5" x14ac:dyDescent="0.45">
      <c r="A49" s="69" t="s">
        <v>795</v>
      </c>
      <c r="B49" s="11"/>
      <c r="C49" s="64"/>
      <c r="D49" s="64"/>
      <c r="E49" s="45"/>
      <c r="F49" s="64"/>
      <c r="G49" s="65"/>
      <c r="H49" s="65"/>
      <c r="I49" s="65"/>
      <c r="J49" s="65"/>
      <c r="K49" s="66"/>
      <c r="M49" s="67"/>
      <c r="P49" s="86"/>
      <c r="U49" s="92"/>
    </row>
    <row r="50" spans="1:21" ht="18.5" x14ac:dyDescent="0.45">
      <c r="B50" s="11"/>
      <c r="C50" s="64"/>
      <c r="D50" s="64"/>
      <c r="E50" s="45"/>
      <c r="F50" s="64"/>
      <c r="G50" s="65"/>
      <c r="H50" s="65"/>
      <c r="I50" s="65"/>
      <c r="J50" s="65"/>
      <c r="K50" s="66"/>
      <c r="M50" s="67"/>
      <c r="P50" s="86"/>
      <c r="U50" s="92"/>
    </row>
    <row r="51" spans="1:21" ht="18.5" x14ac:dyDescent="0.45">
      <c r="B51" s="11"/>
      <c r="C51" s="64"/>
      <c r="D51" s="64"/>
      <c r="E51" s="45"/>
      <c r="F51" s="64"/>
      <c r="G51" s="65"/>
      <c r="H51" s="65"/>
      <c r="I51" s="65"/>
      <c r="J51" s="65"/>
      <c r="K51" s="66"/>
      <c r="M51" s="67"/>
      <c r="P51" s="86"/>
      <c r="U51" s="92"/>
    </row>
    <row r="52" spans="1:21" ht="18.5" x14ac:dyDescent="0.45">
      <c r="A52" s="69" t="s">
        <v>791</v>
      </c>
      <c r="B52" s="11"/>
      <c r="C52" s="64"/>
      <c r="D52" s="64"/>
      <c r="E52" s="45"/>
      <c r="F52" s="64"/>
      <c r="G52" s="65"/>
      <c r="H52" s="65"/>
      <c r="I52" s="65"/>
      <c r="J52" s="65"/>
      <c r="K52" s="66"/>
      <c r="M52" s="67"/>
      <c r="P52" s="86"/>
      <c r="U52" s="92"/>
    </row>
    <row r="53" spans="1:21" ht="18.5" x14ac:dyDescent="0.45">
      <c r="B53" s="6" t="s">
        <v>796</v>
      </c>
      <c r="C53" s="64"/>
      <c r="D53" s="64"/>
      <c r="E53" s="45"/>
      <c r="F53" s="64"/>
      <c r="G53" s="65"/>
      <c r="H53" s="65"/>
      <c r="I53" s="65"/>
      <c r="J53" s="65"/>
      <c r="K53" s="66"/>
      <c r="M53" s="67"/>
      <c r="P53" s="86"/>
      <c r="U53" s="92">
        <v>56000</v>
      </c>
    </row>
    <row r="54" spans="1:21" ht="18.5" x14ac:dyDescent="0.45">
      <c r="B54" s="11"/>
      <c r="C54" s="64"/>
      <c r="D54" s="64"/>
      <c r="E54" s="45"/>
      <c r="F54" s="64"/>
      <c r="G54" s="65"/>
      <c r="H54" s="65"/>
      <c r="I54" s="65"/>
      <c r="J54" s="65"/>
      <c r="K54" s="66"/>
      <c r="M54" s="67"/>
      <c r="P54" s="86"/>
      <c r="U54" s="92"/>
    </row>
    <row r="55" spans="1:21" ht="18.5" x14ac:dyDescent="0.45">
      <c r="A55" s="69" t="s">
        <v>792</v>
      </c>
      <c r="B55" s="11"/>
      <c r="C55" s="64"/>
      <c r="D55" s="64"/>
      <c r="E55" s="45"/>
      <c r="F55" s="64"/>
      <c r="G55" s="65"/>
      <c r="H55" s="65"/>
      <c r="I55" s="65"/>
      <c r="J55" s="65"/>
      <c r="K55" s="66"/>
      <c r="M55" s="67"/>
      <c r="P55" s="86"/>
      <c r="U55" s="105">
        <f>SUM(U53:U54)</f>
        <v>56000</v>
      </c>
    </row>
    <row r="56" spans="1:21" ht="15.5" x14ac:dyDescent="0.35">
      <c r="B56" s="11"/>
      <c r="C56" s="64"/>
      <c r="D56" s="64"/>
      <c r="E56" s="64"/>
      <c r="F56" s="64"/>
      <c r="G56" s="64"/>
      <c r="H56" s="64"/>
      <c r="I56" s="64"/>
      <c r="J56" s="64"/>
      <c r="K56" s="64"/>
      <c r="P56" s="86"/>
    </row>
    <row r="57" spans="1:21" x14ac:dyDescent="0.35">
      <c r="B57" s="5"/>
      <c r="C57" s="45"/>
      <c r="D57" s="45"/>
      <c r="E57" s="45"/>
      <c r="F57" s="45"/>
      <c r="G57" s="45"/>
      <c r="H57" s="45"/>
      <c r="I57" s="45"/>
      <c r="J57" s="45"/>
      <c r="K57" s="45"/>
      <c r="P57" s="86"/>
    </row>
    <row r="58" spans="1:21" ht="15.5" x14ac:dyDescent="0.35">
      <c r="A58" s="13" t="s">
        <v>388</v>
      </c>
      <c r="B58" s="5"/>
      <c r="C58" s="19" t="s">
        <v>637</v>
      </c>
      <c r="D58" s="19"/>
      <c r="E58" s="19"/>
      <c r="F58" s="19" t="s">
        <v>508</v>
      </c>
      <c r="G58" s="19" t="s">
        <v>638</v>
      </c>
      <c r="H58" s="19"/>
      <c r="I58" s="19"/>
      <c r="J58" s="19"/>
      <c r="K58" s="19"/>
      <c r="P58" s="86">
        <f t="shared" si="0"/>
        <v>0</v>
      </c>
    </row>
    <row r="59" spans="1:21" x14ac:dyDescent="0.35">
      <c r="A59" s="7" t="s">
        <v>639</v>
      </c>
      <c r="B59" t="s">
        <v>640</v>
      </c>
      <c r="C59" s="45">
        <v>0</v>
      </c>
      <c r="D59" s="45"/>
      <c r="E59" s="45">
        <f>SUM(C59:D59)</f>
        <v>0</v>
      </c>
      <c r="F59" s="45"/>
      <c r="G59" s="45">
        <v>0</v>
      </c>
      <c r="H59" s="45">
        <f>SUM(G59)</f>
        <v>0</v>
      </c>
      <c r="I59" s="45"/>
      <c r="J59" s="45"/>
      <c r="K59" s="45">
        <v>0</v>
      </c>
      <c r="L59" s="45"/>
      <c r="M59" s="45">
        <v>0</v>
      </c>
      <c r="P59" s="86">
        <f t="shared" si="0"/>
        <v>0</v>
      </c>
    </row>
    <row r="60" spans="1:21" x14ac:dyDescent="0.35">
      <c r="A60" s="7" t="s">
        <v>641</v>
      </c>
      <c r="B60" t="s">
        <v>602</v>
      </c>
      <c r="C60" s="45">
        <v>0</v>
      </c>
      <c r="D60" s="45"/>
      <c r="E60" s="45">
        <f>SUM(C60:D60)</f>
        <v>0</v>
      </c>
      <c r="F60" s="45"/>
      <c r="G60" s="45">
        <v>0</v>
      </c>
      <c r="H60" s="45">
        <f>SUM(G60)</f>
        <v>0</v>
      </c>
      <c r="I60" s="45"/>
      <c r="J60" s="45"/>
      <c r="K60" s="45">
        <v>0</v>
      </c>
      <c r="L60" s="45"/>
      <c r="M60" s="45">
        <v>0</v>
      </c>
      <c r="P60" s="86">
        <f t="shared" si="0"/>
        <v>0</v>
      </c>
    </row>
    <row r="61" spans="1:21" x14ac:dyDescent="0.35">
      <c r="A61" s="7" t="s">
        <v>642</v>
      </c>
      <c r="B61" t="s">
        <v>606</v>
      </c>
      <c r="C61" s="45">
        <v>35000</v>
      </c>
      <c r="D61" s="45">
        <v>30000</v>
      </c>
      <c r="E61" s="45">
        <f>SUM(C61:D61)</f>
        <v>65000</v>
      </c>
      <c r="F61" s="60" t="s">
        <v>643</v>
      </c>
      <c r="G61" s="59">
        <v>40000</v>
      </c>
      <c r="H61" s="59">
        <v>0</v>
      </c>
      <c r="I61" s="59">
        <v>40000</v>
      </c>
      <c r="J61" s="59">
        <v>0</v>
      </c>
      <c r="K61" s="59">
        <v>35000</v>
      </c>
      <c r="L61" s="59"/>
      <c r="M61" s="59">
        <v>35000</v>
      </c>
      <c r="P61" s="86">
        <f t="shared" si="0"/>
        <v>35000</v>
      </c>
      <c r="U61">
        <v>45000</v>
      </c>
    </row>
    <row r="62" spans="1:21" ht="15.5" x14ac:dyDescent="0.35">
      <c r="A62" s="13" t="s">
        <v>644</v>
      </c>
      <c r="B62" s="11"/>
      <c r="C62" s="64">
        <f>SUM(C59:C61)</f>
        <v>35000</v>
      </c>
      <c r="D62" s="64">
        <f>SUM(D59:D61)</f>
        <v>30000</v>
      </c>
      <c r="E62" s="45">
        <f>SUM(C62:D62)</f>
        <v>65000</v>
      </c>
      <c r="F62" s="64"/>
      <c r="G62" s="64">
        <f>SUM(G59:G61)</f>
        <v>40000</v>
      </c>
      <c r="H62" s="64">
        <f>SUM(H59:H61)</f>
        <v>0</v>
      </c>
      <c r="I62" s="64">
        <f>SUM(G62:H62)</f>
        <v>40000</v>
      </c>
      <c r="J62" s="64">
        <f>SUM(J59:J61)</f>
        <v>0</v>
      </c>
      <c r="K62" s="64">
        <v>35000</v>
      </c>
      <c r="L62" s="64"/>
      <c r="M62" s="64">
        <f>SUM(M59:M61)</f>
        <v>35000</v>
      </c>
      <c r="N62">
        <v>0</v>
      </c>
      <c r="P62" s="86">
        <f t="shared" si="0"/>
        <v>35000</v>
      </c>
      <c r="U62" s="100">
        <f>SUM(U61)</f>
        <v>45000</v>
      </c>
    </row>
    <row r="63" spans="1:21" ht="15.5" x14ac:dyDescent="0.35">
      <c r="A63" s="13"/>
      <c r="B63" s="11"/>
      <c r="C63" s="64"/>
      <c r="D63" s="64"/>
      <c r="E63" s="64"/>
      <c r="F63" s="64"/>
      <c r="G63" s="64"/>
      <c r="H63" s="64"/>
      <c r="I63" s="64"/>
      <c r="J63" s="64"/>
      <c r="K63" s="64"/>
      <c r="P63" s="86"/>
    </row>
    <row r="64" spans="1:21" x14ac:dyDescent="0.35">
      <c r="A64" s="3" t="s">
        <v>396</v>
      </c>
      <c r="B64" s="5"/>
      <c r="C64" s="68" t="s">
        <v>637</v>
      </c>
      <c r="D64" s="68"/>
      <c r="E64" s="68"/>
      <c r="F64" s="19" t="s">
        <v>508</v>
      </c>
      <c r="G64" s="19" t="s">
        <v>638</v>
      </c>
      <c r="H64" s="19"/>
      <c r="I64" s="19"/>
      <c r="J64" s="19"/>
      <c r="K64" s="19"/>
      <c r="P64" s="86"/>
    </row>
    <row r="65" spans="1:21" x14ac:dyDescent="0.35">
      <c r="A65" s="2" t="s">
        <v>645</v>
      </c>
      <c r="B65" s="2" t="s">
        <v>646</v>
      </c>
      <c r="C65" s="26">
        <v>0</v>
      </c>
      <c r="D65" s="26"/>
      <c r="E65" s="26">
        <f>SUM(C65:D65)</f>
        <v>0</v>
      </c>
      <c r="G65">
        <v>0</v>
      </c>
      <c r="H65" s="19"/>
      <c r="I65">
        <v>0</v>
      </c>
      <c r="J65">
        <v>0</v>
      </c>
      <c r="K65">
        <v>0</v>
      </c>
      <c r="M65">
        <v>0</v>
      </c>
      <c r="P65" s="86">
        <f t="shared" si="0"/>
        <v>0</v>
      </c>
      <c r="U65">
        <v>0</v>
      </c>
    </row>
    <row r="66" spans="1:21" x14ac:dyDescent="0.35">
      <c r="A66" s="2" t="s">
        <v>647</v>
      </c>
      <c r="B66" s="2" t="s">
        <v>606</v>
      </c>
      <c r="C66" s="26">
        <v>1000</v>
      </c>
      <c r="D66" s="26"/>
      <c r="E66" s="26">
        <f>SUM(C66:D66)</f>
        <v>1000</v>
      </c>
      <c r="G66">
        <v>0</v>
      </c>
      <c r="H66" s="19"/>
      <c r="I66">
        <v>0</v>
      </c>
      <c r="J66">
        <v>0</v>
      </c>
      <c r="K66">
        <v>0</v>
      </c>
      <c r="M66">
        <v>0</v>
      </c>
      <c r="P66" s="86">
        <f t="shared" si="0"/>
        <v>0</v>
      </c>
      <c r="U66">
        <v>0</v>
      </c>
    </row>
    <row r="67" spans="1:21" ht="15.5" x14ac:dyDescent="0.35">
      <c r="A67" s="2"/>
      <c r="B67" s="4" t="s">
        <v>393</v>
      </c>
      <c r="C67" s="26">
        <f>SUM(C65:C66)</f>
        <v>1000</v>
      </c>
      <c r="D67" s="26">
        <f>SUM(D65:D66)</f>
        <v>0</v>
      </c>
      <c r="E67" s="26">
        <f>SUM(E65:E66)</f>
        <v>1000</v>
      </c>
      <c r="G67" s="69"/>
      <c r="H67" s="70"/>
      <c r="I67" s="69">
        <f>SUM(I65:I66)</f>
        <v>0</v>
      </c>
      <c r="J67" s="69">
        <f>SUM(J65:J66)</f>
        <v>0</v>
      </c>
      <c r="K67" s="69">
        <f>SUM(K65:K66)</f>
        <v>0</v>
      </c>
      <c r="L67" s="69"/>
      <c r="M67" s="69">
        <f>SUM(M65:M66)</f>
        <v>0</v>
      </c>
      <c r="N67">
        <v>0</v>
      </c>
      <c r="P67" s="86">
        <f t="shared" si="0"/>
        <v>0</v>
      </c>
      <c r="U67">
        <f>SUM(U65:U66)</f>
        <v>0</v>
      </c>
    </row>
    <row r="68" spans="1:21" x14ac:dyDescent="0.35">
      <c r="A68" s="2"/>
      <c r="B68" s="4"/>
      <c r="C68" s="26"/>
      <c r="D68" s="26"/>
      <c r="E68" s="26"/>
      <c r="P68" s="86"/>
    </row>
    <row r="69" spans="1:21" ht="15.5" x14ac:dyDescent="0.35">
      <c r="B69" s="13" t="s">
        <v>648</v>
      </c>
      <c r="C69" s="39">
        <f>C67</f>
        <v>1000</v>
      </c>
      <c r="D69" s="39"/>
      <c r="E69" s="26"/>
      <c r="G69">
        <f>SUM(G65:G68)</f>
        <v>0</v>
      </c>
      <c r="H69" s="69">
        <f>SUM(H67)</f>
        <v>0</v>
      </c>
      <c r="I69" s="69">
        <f>SUM(I67)</f>
        <v>0</v>
      </c>
      <c r="J69" s="69">
        <f>SUM(J67)</f>
        <v>0</v>
      </c>
      <c r="K69" s="69">
        <f>SUM(K67)</f>
        <v>0</v>
      </c>
      <c r="L69" s="69"/>
      <c r="M69" s="69">
        <f>SUM(M67)</f>
        <v>0</v>
      </c>
      <c r="P69" s="86">
        <f t="shared" si="0"/>
        <v>0</v>
      </c>
      <c r="U69">
        <f>U67</f>
        <v>0</v>
      </c>
    </row>
    <row r="70" spans="1:21" x14ac:dyDescent="0.35">
      <c r="C70" s="45"/>
      <c r="D70" s="45"/>
      <c r="E70" s="45"/>
      <c r="F70" s="45"/>
      <c r="G70" s="45"/>
      <c r="I70" s="45"/>
      <c r="J70" s="45"/>
      <c r="K70" s="45"/>
      <c r="P70" s="86"/>
    </row>
    <row r="71" spans="1:21" ht="15.5" x14ac:dyDescent="0.35">
      <c r="A71" s="13" t="s">
        <v>399</v>
      </c>
      <c r="C71" s="19" t="s">
        <v>637</v>
      </c>
      <c r="D71" s="19"/>
      <c r="E71" s="19"/>
      <c r="F71" s="19" t="s">
        <v>508</v>
      </c>
      <c r="G71" s="19" t="s">
        <v>638</v>
      </c>
      <c r="I71" s="19"/>
      <c r="J71" s="19"/>
      <c r="K71" s="19"/>
      <c r="P71" s="86">
        <f t="shared" si="0"/>
        <v>0</v>
      </c>
    </row>
    <row r="72" spans="1:21" x14ac:dyDescent="0.35">
      <c r="A72" t="s">
        <v>649</v>
      </c>
      <c r="B72" t="s">
        <v>650</v>
      </c>
      <c r="C72" s="45">
        <v>275000</v>
      </c>
      <c r="D72" s="45"/>
      <c r="E72" s="45">
        <f t="shared" ref="E72:E78" si="4">SUM(C72:D72)</f>
        <v>275000</v>
      </c>
      <c r="F72" s="45"/>
      <c r="G72" s="45">
        <v>275000</v>
      </c>
      <c r="H72" s="49">
        <v>0</v>
      </c>
      <c r="I72" s="45">
        <v>275000</v>
      </c>
      <c r="J72" s="45">
        <v>289338</v>
      </c>
      <c r="K72" s="45">
        <v>285000</v>
      </c>
      <c r="L72" s="45"/>
      <c r="M72" s="45">
        <v>285000</v>
      </c>
      <c r="P72" s="86">
        <f t="shared" si="0"/>
        <v>285000</v>
      </c>
      <c r="S72" s="84">
        <v>321290</v>
      </c>
      <c r="T72">
        <v>113</v>
      </c>
      <c r="U72">
        <v>56200</v>
      </c>
    </row>
    <row r="73" spans="1:21" x14ac:dyDescent="0.35">
      <c r="A73" t="s">
        <v>651</v>
      </c>
      <c r="B73" t="s">
        <v>652</v>
      </c>
      <c r="C73" s="45">
        <v>250</v>
      </c>
      <c r="D73" s="45"/>
      <c r="E73" s="45">
        <f t="shared" si="4"/>
        <v>250</v>
      </c>
      <c r="F73" s="45"/>
      <c r="G73" s="45">
        <v>250</v>
      </c>
      <c r="H73" s="45">
        <v>0</v>
      </c>
      <c r="I73" s="45">
        <v>250</v>
      </c>
      <c r="J73" s="45">
        <v>6906</v>
      </c>
      <c r="K73" s="45">
        <v>5000</v>
      </c>
      <c r="L73" s="45"/>
      <c r="M73" s="45">
        <v>5000</v>
      </c>
      <c r="P73" s="86">
        <f t="shared" si="0"/>
        <v>5000</v>
      </c>
      <c r="S73" s="84">
        <v>25935</v>
      </c>
      <c r="T73">
        <v>518</v>
      </c>
      <c r="U73">
        <v>5000</v>
      </c>
    </row>
    <row r="74" spans="1:21" x14ac:dyDescent="0.35">
      <c r="A74" t="s">
        <v>653</v>
      </c>
      <c r="B74" t="s">
        <v>611</v>
      </c>
      <c r="C74" s="45">
        <v>2500</v>
      </c>
      <c r="D74" s="45"/>
      <c r="E74" s="45">
        <f t="shared" si="4"/>
        <v>2500</v>
      </c>
      <c r="F74" s="45"/>
      <c r="G74" s="45">
        <v>2500</v>
      </c>
      <c r="H74" s="26">
        <v>0</v>
      </c>
      <c r="I74" s="45">
        <v>2500</v>
      </c>
      <c r="J74" s="45">
        <v>0</v>
      </c>
      <c r="K74" s="45">
        <v>2500</v>
      </c>
      <c r="L74" s="45"/>
      <c r="M74" s="45">
        <v>2500</v>
      </c>
      <c r="P74" s="86">
        <f t="shared" si="0"/>
        <v>2500</v>
      </c>
      <c r="U74">
        <v>2500</v>
      </c>
    </row>
    <row r="75" spans="1:21" x14ac:dyDescent="0.35">
      <c r="A75" t="s">
        <v>654</v>
      </c>
      <c r="B75" t="s">
        <v>581</v>
      </c>
      <c r="C75" s="45">
        <v>0</v>
      </c>
      <c r="D75" s="45"/>
      <c r="E75" s="45">
        <f t="shared" si="4"/>
        <v>0</v>
      </c>
      <c r="F75" s="45"/>
      <c r="G75" s="45">
        <v>0</v>
      </c>
      <c r="H75" s="45">
        <f>SUM(G75)</f>
        <v>0</v>
      </c>
      <c r="I75" s="45">
        <v>0</v>
      </c>
      <c r="J75" s="45">
        <v>0</v>
      </c>
      <c r="K75" s="45">
        <v>0</v>
      </c>
      <c r="L75" s="45"/>
      <c r="M75" s="45">
        <v>0</v>
      </c>
      <c r="P75" s="86">
        <f t="shared" si="0"/>
        <v>0</v>
      </c>
      <c r="U75">
        <v>0</v>
      </c>
    </row>
    <row r="76" spans="1:21" x14ac:dyDescent="0.35">
      <c r="A76" t="s">
        <v>655</v>
      </c>
      <c r="B76" t="s">
        <v>602</v>
      </c>
      <c r="C76" s="45">
        <v>0</v>
      </c>
      <c r="D76" s="45"/>
      <c r="E76" s="45">
        <f t="shared" si="4"/>
        <v>0</v>
      </c>
      <c r="F76" s="45"/>
      <c r="G76" s="45">
        <v>0</v>
      </c>
      <c r="H76" s="45">
        <f>SUM(G76)</f>
        <v>0</v>
      </c>
      <c r="I76" s="45">
        <v>0</v>
      </c>
      <c r="J76" s="45">
        <v>0</v>
      </c>
      <c r="K76" s="45">
        <v>0</v>
      </c>
      <c r="L76" s="45"/>
      <c r="M76" s="45">
        <v>0</v>
      </c>
      <c r="P76" s="86">
        <f t="shared" ref="P76:P115" si="5">M76+N76</f>
        <v>0</v>
      </c>
      <c r="U76">
        <v>0</v>
      </c>
    </row>
    <row r="77" spans="1:21" x14ac:dyDescent="0.35">
      <c r="A77" t="s">
        <v>656</v>
      </c>
      <c r="B77" t="s">
        <v>606</v>
      </c>
      <c r="C77" s="45">
        <v>177500</v>
      </c>
      <c r="D77" s="45"/>
      <c r="E77" s="45">
        <f t="shared" si="4"/>
        <v>177500</v>
      </c>
      <c r="F77" s="45"/>
      <c r="G77" s="45">
        <v>0</v>
      </c>
      <c r="H77" s="45">
        <f>SUM(G77)</f>
        <v>0</v>
      </c>
      <c r="I77" s="45">
        <v>0</v>
      </c>
      <c r="J77" s="45">
        <v>0</v>
      </c>
      <c r="K77" s="45">
        <v>153125</v>
      </c>
      <c r="L77" s="45"/>
      <c r="M77" s="45">
        <v>153125</v>
      </c>
      <c r="P77" s="86">
        <f t="shared" si="5"/>
        <v>153125</v>
      </c>
      <c r="U77">
        <v>0</v>
      </c>
    </row>
    <row r="78" spans="1:21" ht="15.5" x14ac:dyDescent="0.35">
      <c r="B78" s="13" t="s">
        <v>416</v>
      </c>
      <c r="C78" s="64">
        <f>SUM(C72:C77)</f>
        <v>455250</v>
      </c>
      <c r="D78" s="64"/>
      <c r="E78" s="71">
        <f t="shared" si="4"/>
        <v>455250</v>
      </c>
      <c r="F78" s="71"/>
      <c r="G78" s="71">
        <f>SUM(G72:G77)</f>
        <v>277750</v>
      </c>
      <c r="H78" s="71">
        <f>SUM(H72:H77)</f>
        <v>0</v>
      </c>
      <c r="I78" s="71">
        <f>SUM(H78+G78)</f>
        <v>277750</v>
      </c>
      <c r="J78" s="71">
        <f>SUM(J72:J77)</f>
        <v>296244</v>
      </c>
      <c r="K78" s="71">
        <f>SUM(K72:K77)</f>
        <v>445625</v>
      </c>
      <c r="L78" s="71"/>
      <c r="M78" s="71">
        <f>SUM(M72:M77)</f>
        <v>445625</v>
      </c>
      <c r="N78">
        <v>0</v>
      </c>
      <c r="P78" s="86">
        <f t="shared" si="5"/>
        <v>445625</v>
      </c>
      <c r="U78" s="100">
        <f>SUM(U72:U77)</f>
        <v>63700</v>
      </c>
    </row>
    <row r="79" spans="1:21" x14ac:dyDescent="0.35">
      <c r="B79" s="5"/>
      <c r="C79" s="45"/>
      <c r="D79" s="45"/>
      <c r="E79" s="45"/>
      <c r="F79" s="45"/>
      <c r="G79" s="45"/>
      <c r="H79" s="45"/>
      <c r="I79" s="45"/>
      <c r="J79" s="45"/>
      <c r="K79" s="45"/>
      <c r="P79" s="86"/>
    </row>
    <row r="80" spans="1:21" ht="15.5" x14ac:dyDescent="0.35">
      <c r="A80" s="13" t="s">
        <v>419</v>
      </c>
      <c r="B80" s="5"/>
      <c r="C80" s="19" t="s">
        <v>637</v>
      </c>
      <c r="D80" s="19"/>
      <c r="E80" s="19"/>
      <c r="F80" s="19" t="s">
        <v>508</v>
      </c>
      <c r="G80" s="19" t="s">
        <v>638</v>
      </c>
      <c r="H80" s="45"/>
      <c r="I80" s="19"/>
      <c r="J80" s="19"/>
      <c r="K80" s="19"/>
      <c r="P80" s="86"/>
    </row>
    <row r="81" spans="1:21" x14ac:dyDescent="0.35">
      <c r="A81" s="7" t="s">
        <v>657</v>
      </c>
      <c r="B81" t="s">
        <v>658</v>
      </c>
      <c r="C81" s="45">
        <v>135000</v>
      </c>
      <c r="D81" s="45"/>
      <c r="E81" s="45">
        <f>SUM(C81:D81)</f>
        <v>135000</v>
      </c>
      <c r="F81" s="45"/>
      <c r="G81" s="45">
        <v>135000</v>
      </c>
      <c r="H81" s="45">
        <v>0</v>
      </c>
      <c r="I81" s="45">
        <f>SUM(G81:H81)</f>
        <v>135000</v>
      </c>
      <c r="J81" s="45">
        <v>89424</v>
      </c>
      <c r="K81" s="45">
        <v>135000</v>
      </c>
      <c r="L81" s="45"/>
      <c r="M81" s="45">
        <v>135000</v>
      </c>
      <c r="P81" s="86">
        <f t="shared" si="5"/>
        <v>135000</v>
      </c>
      <c r="S81" s="84">
        <v>96723</v>
      </c>
      <c r="T81">
        <v>72</v>
      </c>
      <c r="U81">
        <v>135000</v>
      </c>
    </row>
    <row r="82" spans="1:21" x14ac:dyDescent="0.35">
      <c r="A82" s="7" t="s">
        <v>659</v>
      </c>
      <c r="B82" t="s">
        <v>611</v>
      </c>
      <c r="C82" s="45">
        <v>0</v>
      </c>
      <c r="D82" s="45"/>
      <c r="E82" s="45">
        <f>SUM(C82:D82)</f>
        <v>0</v>
      </c>
      <c r="F82" s="45"/>
      <c r="G82" s="45">
        <v>0</v>
      </c>
      <c r="H82" s="45">
        <f>SUM(G82)</f>
        <v>0</v>
      </c>
      <c r="I82" s="45">
        <v>0</v>
      </c>
      <c r="J82" s="45">
        <v>0</v>
      </c>
      <c r="K82" s="45">
        <v>0</v>
      </c>
      <c r="L82" s="45"/>
      <c r="M82" s="45">
        <v>0</v>
      </c>
      <c r="P82" s="86">
        <f t="shared" si="5"/>
        <v>0</v>
      </c>
      <c r="U82">
        <v>0</v>
      </c>
    </row>
    <row r="83" spans="1:21" x14ac:dyDescent="0.35">
      <c r="A83" s="7" t="s">
        <v>660</v>
      </c>
      <c r="B83" t="s">
        <v>606</v>
      </c>
      <c r="C83" s="45">
        <v>36000</v>
      </c>
      <c r="D83" s="45"/>
      <c r="E83" s="45">
        <f>SUM(C83:D83)</f>
        <v>36000</v>
      </c>
      <c r="F83" s="45"/>
      <c r="G83" s="45"/>
      <c r="H83" s="19">
        <f>SUM(G83)</f>
        <v>0</v>
      </c>
      <c r="I83" s="45">
        <f>SUM(H83)</f>
        <v>0</v>
      </c>
      <c r="J83" s="45"/>
      <c r="K83" s="45">
        <v>0</v>
      </c>
      <c r="L83" s="45"/>
      <c r="M83" s="45">
        <v>0</v>
      </c>
      <c r="P83" s="86">
        <f t="shared" si="5"/>
        <v>0</v>
      </c>
      <c r="U83">
        <v>0</v>
      </c>
    </row>
    <row r="84" spans="1:21" ht="15.5" x14ac:dyDescent="0.35">
      <c r="A84" s="13" t="s">
        <v>428</v>
      </c>
      <c r="B84" s="11"/>
      <c r="C84" s="64">
        <f>SUM(C81:C83)</f>
        <v>171000</v>
      </c>
      <c r="D84" s="64"/>
      <c r="E84" s="45">
        <f>SUM(C84:D84)</f>
        <v>171000</v>
      </c>
      <c r="F84" s="64"/>
      <c r="G84" s="64">
        <f>SUM(G81:G83)</f>
        <v>135000</v>
      </c>
      <c r="H84" s="45">
        <f>SUM(H81:H83)</f>
        <v>0</v>
      </c>
      <c r="I84" s="64">
        <f>SUM(G84:H84)</f>
        <v>135000</v>
      </c>
      <c r="J84" s="64">
        <f>SUM(J81:J83)</f>
        <v>89424</v>
      </c>
      <c r="K84" s="64">
        <f>SUM(K81:K83)</f>
        <v>135000</v>
      </c>
      <c r="L84" s="64"/>
      <c r="M84" s="64">
        <f>SUM(M81:M83)</f>
        <v>135000</v>
      </c>
      <c r="N84">
        <v>0</v>
      </c>
      <c r="P84" s="86">
        <f t="shared" si="5"/>
        <v>135000</v>
      </c>
      <c r="U84" s="100">
        <f>SUM(U81:U83)</f>
        <v>135000</v>
      </c>
    </row>
    <row r="85" spans="1:21" x14ac:dyDescent="0.35">
      <c r="C85" s="45"/>
      <c r="D85" s="45"/>
      <c r="E85" s="45"/>
      <c r="F85" s="45"/>
      <c r="G85" s="45"/>
      <c r="H85" s="45"/>
      <c r="I85" s="45"/>
      <c r="J85" s="45"/>
      <c r="K85" s="45"/>
      <c r="P85" s="86"/>
    </row>
    <row r="86" spans="1:21" ht="15.5" x14ac:dyDescent="0.35">
      <c r="A86" s="13" t="s">
        <v>431</v>
      </c>
      <c r="C86" s="19" t="s">
        <v>637</v>
      </c>
      <c r="D86" s="19"/>
      <c r="E86" s="19"/>
      <c r="F86" s="19" t="s">
        <v>508</v>
      </c>
      <c r="G86" s="19" t="s">
        <v>638</v>
      </c>
      <c r="H86" s="45"/>
      <c r="I86" s="19"/>
      <c r="J86" s="19"/>
      <c r="K86" s="19"/>
      <c r="P86" s="86"/>
    </row>
    <row r="87" spans="1:21" x14ac:dyDescent="0.35">
      <c r="A87" t="s">
        <v>661</v>
      </c>
      <c r="B87" t="s">
        <v>662</v>
      </c>
      <c r="C87" s="45">
        <v>515000</v>
      </c>
      <c r="D87" s="45"/>
      <c r="E87" s="45">
        <f t="shared" ref="E87:E96" si="6">SUM(C87:D87)</f>
        <v>515000</v>
      </c>
      <c r="F87" s="45" t="s">
        <v>663</v>
      </c>
      <c r="G87" s="72">
        <v>875000</v>
      </c>
      <c r="H87" s="59">
        <v>0</v>
      </c>
      <c r="I87" s="72">
        <f>SUM(G87:H87)</f>
        <v>875000</v>
      </c>
      <c r="J87" s="72">
        <v>355203</v>
      </c>
      <c r="K87" s="72">
        <f>I87*1.03</f>
        <v>901250</v>
      </c>
      <c r="L87" s="72"/>
      <c r="M87" s="72">
        <v>901250</v>
      </c>
      <c r="P87" s="86">
        <f t="shared" si="5"/>
        <v>901250</v>
      </c>
      <c r="S87" s="84">
        <v>537184</v>
      </c>
      <c r="T87">
        <v>59.6</v>
      </c>
      <c r="U87" s="86">
        <f>P87</f>
        <v>901250</v>
      </c>
    </row>
    <row r="88" spans="1:21" x14ac:dyDescent="0.35">
      <c r="A88" t="s">
        <v>664</v>
      </c>
      <c r="B88" t="s">
        <v>665</v>
      </c>
      <c r="C88" s="45">
        <v>1439619</v>
      </c>
      <c r="D88" s="45"/>
      <c r="E88" s="45">
        <f t="shared" si="6"/>
        <v>1439619</v>
      </c>
      <c r="F88" s="45" t="s">
        <v>666</v>
      </c>
      <c r="G88" s="72">
        <f>1520076*1.1</f>
        <v>1672083.6</v>
      </c>
      <c r="H88" s="59">
        <v>0</v>
      </c>
      <c r="I88" s="72">
        <f t="shared" ref="I88:I104" si="7">SUM(G88:H88)</f>
        <v>1672083.6</v>
      </c>
      <c r="J88" s="72">
        <v>1152889</v>
      </c>
      <c r="K88" s="72">
        <v>1672084</v>
      </c>
      <c r="L88" s="72"/>
      <c r="M88" s="72">
        <f>K88*1.05</f>
        <v>1755688.2000000002</v>
      </c>
      <c r="P88" s="86">
        <f t="shared" si="5"/>
        <v>1755688.2000000002</v>
      </c>
      <c r="S88" s="84">
        <v>1294617</v>
      </c>
      <c r="T88">
        <v>73.73</v>
      </c>
      <c r="U88" s="86">
        <f t="shared" ref="U88:U104" si="8">P88</f>
        <v>1755688.2000000002</v>
      </c>
    </row>
    <row r="89" spans="1:21" x14ac:dyDescent="0.35">
      <c r="A89" t="s">
        <v>667</v>
      </c>
      <c r="B89" t="s">
        <v>668</v>
      </c>
      <c r="C89" s="45">
        <v>2364309</v>
      </c>
      <c r="D89" s="45"/>
      <c r="E89" s="45">
        <f t="shared" si="6"/>
        <v>2364309</v>
      </c>
      <c r="F89" s="45" t="s">
        <v>666</v>
      </c>
      <c r="G89" s="72">
        <f>2500000*1.1-3250</f>
        <v>2746750</v>
      </c>
      <c r="H89" s="59">
        <v>0</v>
      </c>
      <c r="I89" s="72">
        <f t="shared" si="7"/>
        <v>2746750</v>
      </c>
      <c r="J89" s="72">
        <v>1810070</v>
      </c>
      <c r="K89" s="72">
        <v>2746750</v>
      </c>
      <c r="L89" s="72"/>
      <c r="M89" s="72">
        <f>K89*1.05</f>
        <v>2884087.5</v>
      </c>
      <c r="P89" s="86">
        <f t="shared" si="5"/>
        <v>2884087.5</v>
      </c>
      <c r="S89" s="84">
        <v>2052495</v>
      </c>
      <c r="T89">
        <v>71.16</v>
      </c>
      <c r="U89" s="86">
        <f t="shared" si="8"/>
        <v>2884087.5</v>
      </c>
    </row>
    <row r="90" spans="1:21" x14ac:dyDescent="0.35">
      <c r="A90" t="s">
        <v>669</v>
      </c>
      <c r="B90" s="73" t="s">
        <v>670</v>
      </c>
      <c r="C90" s="45">
        <v>20000</v>
      </c>
      <c r="D90" s="45"/>
      <c r="E90" s="45">
        <f t="shared" si="6"/>
        <v>20000</v>
      </c>
      <c r="F90" s="45"/>
      <c r="G90" s="72">
        <v>20000</v>
      </c>
      <c r="H90" s="59">
        <v>0</v>
      </c>
      <c r="I90" s="72">
        <f t="shared" si="7"/>
        <v>20000</v>
      </c>
      <c r="J90" s="72">
        <v>11760</v>
      </c>
      <c r="K90" s="72">
        <v>20000</v>
      </c>
      <c r="L90" s="72"/>
      <c r="M90" s="72">
        <v>20000</v>
      </c>
      <c r="P90" s="86">
        <f t="shared" si="5"/>
        <v>20000</v>
      </c>
      <c r="S90" s="84">
        <v>23100</v>
      </c>
      <c r="T90">
        <v>115.5</v>
      </c>
      <c r="U90" s="86">
        <f t="shared" si="8"/>
        <v>20000</v>
      </c>
    </row>
    <row r="91" spans="1:21" x14ac:dyDescent="0.35">
      <c r="A91" t="s">
        <v>671</v>
      </c>
      <c r="B91" s="73" t="s">
        <v>672</v>
      </c>
      <c r="C91" s="74">
        <v>0</v>
      </c>
      <c r="D91" s="74"/>
      <c r="E91" s="45">
        <f t="shared" si="6"/>
        <v>0</v>
      </c>
      <c r="F91" s="74" t="s">
        <v>673</v>
      </c>
      <c r="G91" s="75">
        <v>0</v>
      </c>
      <c r="H91" s="59">
        <v>0</v>
      </c>
      <c r="I91" s="72">
        <f t="shared" si="7"/>
        <v>0</v>
      </c>
      <c r="J91" s="75">
        <v>2600</v>
      </c>
      <c r="K91" s="75">
        <v>0</v>
      </c>
      <c r="L91" s="75"/>
      <c r="M91" s="75">
        <v>0</v>
      </c>
      <c r="P91" s="86">
        <f t="shared" si="5"/>
        <v>0</v>
      </c>
      <c r="S91" s="84">
        <v>20000</v>
      </c>
      <c r="U91" s="86">
        <f t="shared" si="8"/>
        <v>0</v>
      </c>
    </row>
    <row r="92" spans="1:21" x14ac:dyDescent="0.35">
      <c r="A92" t="s">
        <v>674</v>
      </c>
      <c r="B92" s="76" t="s">
        <v>675</v>
      </c>
      <c r="C92" s="45">
        <v>18000</v>
      </c>
      <c r="D92" s="45"/>
      <c r="E92" s="45">
        <f t="shared" si="6"/>
        <v>18000</v>
      </c>
      <c r="F92" s="45" t="s">
        <v>541</v>
      </c>
      <c r="G92" s="77">
        <v>18000</v>
      </c>
      <c r="H92" s="59">
        <v>0</v>
      </c>
      <c r="I92" s="72">
        <f t="shared" si="7"/>
        <v>18000</v>
      </c>
      <c r="J92" s="77">
        <v>19790</v>
      </c>
      <c r="K92" s="77">
        <v>25000</v>
      </c>
      <c r="L92" s="77"/>
      <c r="M92" s="77">
        <v>25000</v>
      </c>
      <c r="P92" s="86">
        <f t="shared" si="5"/>
        <v>25000</v>
      </c>
      <c r="S92" s="84">
        <v>18420</v>
      </c>
      <c r="T92">
        <v>73.680000000000007</v>
      </c>
      <c r="U92" s="86">
        <f t="shared" si="8"/>
        <v>25000</v>
      </c>
    </row>
    <row r="93" spans="1:21" x14ac:dyDescent="0.35">
      <c r="A93" t="s">
        <v>676</v>
      </c>
      <c r="B93" s="76" t="s">
        <v>677</v>
      </c>
      <c r="C93" s="45">
        <v>12000</v>
      </c>
      <c r="D93" s="45"/>
      <c r="E93" s="45">
        <f t="shared" si="6"/>
        <v>12000</v>
      </c>
      <c r="F93" s="45" t="s">
        <v>541</v>
      </c>
      <c r="G93" s="77">
        <v>12000</v>
      </c>
      <c r="H93" s="59">
        <v>0</v>
      </c>
      <c r="I93" s="72">
        <f t="shared" si="7"/>
        <v>12000</v>
      </c>
      <c r="J93" s="77">
        <v>9666</v>
      </c>
      <c r="K93" s="77">
        <v>12000</v>
      </c>
      <c r="L93" s="77"/>
      <c r="M93" s="77">
        <v>12000</v>
      </c>
      <c r="P93" s="86">
        <f t="shared" si="5"/>
        <v>12000</v>
      </c>
      <c r="S93" s="84">
        <v>11295</v>
      </c>
      <c r="T93">
        <v>94.12</v>
      </c>
      <c r="U93" s="86">
        <f t="shared" si="8"/>
        <v>12000</v>
      </c>
    </row>
    <row r="94" spans="1:21" x14ac:dyDescent="0.35">
      <c r="A94" t="s">
        <v>678</v>
      </c>
      <c r="B94" s="52" t="s">
        <v>679</v>
      </c>
      <c r="C94" s="45">
        <v>0</v>
      </c>
      <c r="D94" s="45"/>
      <c r="E94" s="45">
        <f t="shared" si="6"/>
        <v>0</v>
      </c>
      <c r="F94" s="45"/>
      <c r="G94" s="72">
        <v>0</v>
      </c>
      <c r="H94" s="59">
        <v>0</v>
      </c>
      <c r="I94" s="72">
        <f t="shared" si="7"/>
        <v>0</v>
      </c>
      <c r="J94" s="72"/>
      <c r="K94" s="72">
        <v>0</v>
      </c>
      <c r="L94" s="72"/>
      <c r="M94" s="72">
        <v>0</v>
      </c>
      <c r="P94" s="86">
        <f t="shared" si="5"/>
        <v>0</v>
      </c>
      <c r="U94" s="86">
        <f t="shared" si="8"/>
        <v>0</v>
      </c>
    </row>
    <row r="95" spans="1:21" x14ac:dyDescent="0.35">
      <c r="A95" t="s">
        <v>680</v>
      </c>
      <c r="B95" s="52" t="s">
        <v>681</v>
      </c>
      <c r="C95" s="45">
        <v>0</v>
      </c>
      <c r="D95" s="45"/>
      <c r="E95" s="45">
        <f t="shared" si="6"/>
        <v>0</v>
      </c>
      <c r="F95" s="45"/>
      <c r="G95" s="72">
        <v>0</v>
      </c>
      <c r="H95" s="59">
        <v>0</v>
      </c>
      <c r="I95" s="72">
        <f t="shared" si="7"/>
        <v>0</v>
      </c>
      <c r="J95" s="72"/>
      <c r="K95" s="72">
        <v>0</v>
      </c>
      <c r="L95" s="72"/>
      <c r="M95" s="72">
        <v>0</v>
      </c>
      <c r="P95" s="86">
        <f t="shared" si="5"/>
        <v>0</v>
      </c>
      <c r="S95" s="84">
        <v>1069</v>
      </c>
      <c r="U95" s="86">
        <f t="shared" si="8"/>
        <v>0</v>
      </c>
    </row>
    <row r="96" spans="1:21" x14ac:dyDescent="0.35">
      <c r="A96" t="s">
        <v>682</v>
      </c>
      <c r="B96" s="52" t="s">
        <v>683</v>
      </c>
      <c r="C96" s="45">
        <v>0</v>
      </c>
      <c r="D96" s="45"/>
      <c r="E96" s="45">
        <f t="shared" si="6"/>
        <v>0</v>
      </c>
      <c r="F96" s="45"/>
      <c r="G96" s="72">
        <v>0</v>
      </c>
      <c r="H96" s="59">
        <v>0</v>
      </c>
      <c r="I96" s="72">
        <f t="shared" si="7"/>
        <v>0</v>
      </c>
      <c r="J96" s="72"/>
      <c r="K96" s="72">
        <v>0</v>
      </c>
      <c r="L96" s="72"/>
      <c r="M96" s="72">
        <v>0</v>
      </c>
      <c r="P96" s="86">
        <f t="shared" si="5"/>
        <v>0</v>
      </c>
      <c r="U96" s="86">
        <f t="shared" si="8"/>
        <v>0</v>
      </c>
    </row>
    <row r="97" spans="1:21" x14ac:dyDescent="0.35">
      <c r="A97" t="s">
        <v>684</v>
      </c>
      <c r="B97" s="78" t="s">
        <v>581</v>
      </c>
      <c r="C97" s="45">
        <v>2000000</v>
      </c>
      <c r="D97" s="45"/>
      <c r="E97" s="45">
        <v>2000000</v>
      </c>
      <c r="F97" s="45" t="s">
        <v>685</v>
      </c>
      <c r="G97" s="72">
        <v>0</v>
      </c>
      <c r="H97" s="59">
        <v>0</v>
      </c>
      <c r="I97" s="72">
        <f t="shared" si="7"/>
        <v>0</v>
      </c>
      <c r="J97" s="72"/>
      <c r="K97" s="72">
        <v>0</v>
      </c>
      <c r="L97" s="72"/>
      <c r="M97" s="72">
        <v>0</v>
      </c>
      <c r="P97" s="86">
        <f t="shared" si="5"/>
        <v>0</v>
      </c>
      <c r="U97" s="86">
        <f t="shared" si="8"/>
        <v>0</v>
      </c>
    </row>
    <row r="98" spans="1:21" x14ac:dyDescent="0.35">
      <c r="A98" t="s">
        <v>686</v>
      </c>
      <c r="B98" s="78" t="s">
        <v>583</v>
      </c>
      <c r="C98" s="45">
        <v>1500</v>
      </c>
      <c r="D98" s="45"/>
      <c r="E98" s="45">
        <f>SUM(C98:D98)</f>
        <v>1500</v>
      </c>
      <c r="F98" s="45"/>
      <c r="G98" s="72">
        <v>1500</v>
      </c>
      <c r="H98" s="59">
        <v>0</v>
      </c>
      <c r="I98" s="72">
        <f t="shared" si="7"/>
        <v>1500</v>
      </c>
      <c r="J98" s="72">
        <v>51311</v>
      </c>
      <c r="K98" s="72">
        <v>75000</v>
      </c>
      <c r="L98" s="72"/>
      <c r="M98" s="72">
        <v>75000</v>
      </c>
      <c r="P98" s="86">
        <f t="shared" si="5"/>
        <v>75000</v>
      </c>
      <c r="S98" s="84">
        <v>119472</v>
      </c>
      <c r="T98">
        <v>159</v>
      </c>
      <c r="U98" s="86">
        <f t="shared" si="8"/>
        <v>75000</v>
      </c>
    </row>
    <row r="99" spans="1:21" x14ac:dyDescent="0.35">
      <c r="A99" t="s">
        <v>687</v>
      </c>
      <c r="B99" s="78" t="s">
        <v>688</v>
      </c>
      <c r="C99" s="45">
        <v>18000</v>
      </c>
      <c r="D99" s="45"/>
      <c r="E99" s="45">
        <f>SUM(C99:D99)</f>
        <v>18000</v>
      </c>
      <c r="F99" s="45"/>
      <c r="G99" s="72">
        <v>18000</v>
      </c>
      <c r="H99" s="59">
        <v>0</v>
      </c>
      <c r="I99" s="72">
        <f t="shared" si="7"/>
        <v>18000</v>
      </c>
      <c r="J99" s="72">
        <v>12167</v>
      </c>
      <c r="K99" s="72">
        <v>18000</v>
      </c>
      <c r="L99" s="72"/>
      <c r="M99" s="72">
        <v>18000</v>
      </c>
      <c r="P99" s="86">
        <f t="shared" si="5"/>
        <v>18000</v>
      </c>
      <c r="S99" s="84">
        <v>10646</v>
      </c>
      <c r="T99">
        <v>59</v>
      </c>
      <c r="U99" s="86">
        <f t="shared" si="8"/>
        <v>18000</v>
      </c>
    </row>
    <row r="100" spans="1:21" x14ac:dyDescent="0.35">
      <c r="A100" t="s">
        <v>689</v>
      </c>
      <c r="B100" s="78" t="s">
        <v>593</v>
      </c>
      <c r="C100" s="45">
        <v>5000</v>
      </c>
      <c r="D100" s="45"/>
      <c r="E100" s="45">
        <f>SUM(C100:D100)</f>
        <v>5000</v>
      </c>
      <c r="F100" s="45"/>
      <c r="G100" s="72">
        <v>5000</v>
      </c>
      <c r="H100" s="72">
        <v>300000</v>
      </c>
      <c r="I100" s="72">
        <f t="shared" si="7"/>
        <v>305000</v>
      </c>
      <c r="J100" s="72">
        <v>1386</v>
      </c>
      <c r="K100" s="72">
        <v>5000</v>
      </c>
      <c r="L100" s="72"/>
      <c r="M100" s="72">
        <v>5000</v>
      </c>
      <c r="P100" s="86">
        <f t="shared" si="5"/>
        <v>5000</v>
      </c>
      <c r="U100" s="86">
        <f t="shared" si="8"/>
        <v>5000</v>
      </c>
    </row>
    <row r="101" spans="1:21" x14ac:dyDescent="0.35">
      <c r="A101" t="s">
        <v>690</v>
      </c>
      <c r="B101" s="78" t="s">
        <v>691</v>
      </c>
      <c r="C101" s="45"/>
      <c r="D101" s="45"/>
      <c r="E101" s="45"/>
      <c r="F101" s="45"/>
      <c r="G101" s="72"/>
      <c r="H101" s="72"/>
      <c r="I101" s="72"/>
      <c r="J101" s="72"/>
      <c r="K101" s="72"/>
      <c r="L101" s="72"/>
      <c r="M101" s="72"/>
      <c r="P101" s="86">
        <f t="shared" si="5"/>
        <v>0</v>
      </c>
      <c r="U101" s="86">
        <f t="shared" si="8"/>
        <v>0</v>
      </c>
    </row>
    <row r="102" spans="1:21" x14ac:dyDescent="0.35">
      <c r="A102" t="s">
        <v>692</v>
      </c>
      <c r="B102" s="78" t="s">
        <v>693</v>
      </c>
      <c r="C102" s="45"/>
      <c r="D102" s="45"/>
      <c r="E102" s="45"/>
      <c r="F102" s="45"/>
      <c r="G102" s="72"/>
      <c r="H102" s="72"/>
      <c r="I102" s="72"/>
      <c r="J102" s="72"/>
      <c r="K102" s="72"/>
      <c r="L102" s="72"/>
      <c r="M102" s="72"/>
      <c r="N102">
        <v>300000</v>
      </c>
      <c r="P102" s="86">
        <f t="shared" si="5"/>
        <v>300000</v>
      </c>
      <c r="U102" s="86">
        <v>0</v>
      </c>
    </row>
    <row r="103" spans="1:21" x14ac:dyDescent="0.35">
      <c r="A103" t="s">
        <v>694</v>
      </c>
      <c r="B103" s="78" t="s">
        <v>611</v>
      </c>
      <c r="C103" s="45">
        <v>0</v>
      </c>
      <c r="D103" s="45"/>
      <c r="E103" s="45">
        <f>SUM(C103:D103)</f>
        <v>0</v>
      </c>
      <c r="F103" s="45"/>
      <c r="G103" s="72">
        <v>0</v>
      </c>
      <c r="H103" s="72">
        <v>0</v>
      </c>
      <c r="I103" s="72">
        <f t="shared" si="7"/>
        <v>0</v>
      </c>
      <c r="J103" s="72"/>
      <c r="K103" s="72">
        <v>0</v>
      </c>
      <c r="L103" s="72"/>
      <c r="M103" s="72">
        <v>0</v>
      </c>
      <c r="P103" s="86">
        <f t="shared" si="5"/>
        <v>0</v>
      </c>
      <c r="U103" s="86">
        <f t="shared" si="8"/>
        <v>0</v>
      </c>
    </row>
    <row r="104" spans="1:21" x14ac:dyDescent="0.35">
      <c r="A104" t="s">
        <v>695</v>
      </c>
      <c r="B104" s="78" t="s">
        <v>602</v>
      </c>
      <c r="C104" s="45">
        <v>0</v>
      </c>
      <c r="D104" s="45"/>
      <c r="E104" s="45">
        <f>SUM(C104:D104)</f>
        <v>0</v>
      </c>
      <c r="F104" s="45"/>
      <c r="G104" s="72">
        <v>0</v>
      </c>
      <c r="H104" s="72">
        <v>0</v>
      </c>
      <c r="I104" s="72">
        <f t="shared" si="7"/>
        <v>0</v>
      </c>
      <c r="J104" s="72"/>
      <c r="K104" s="72">
        <v>0</v>
      </c>
      <c r="L104" s="72"/>
      <c r="M104" s="72">
        <v>0</v>
      </c>
      <c r="P104" s="86">
        <f t="shared" si="5"/>
        <v>0</v>
      </c>
      <c r="U104" s="86">
        <f t="shared" si="8"/>
        <v>0</v>
      </c>
    </row>
    <row r="105" spans="1:21" x14ac:dyDescent="0.35">
      <c r="A105" t="s">
        <v>696</v>
      </c>
      <c r="B105" t="s">
        <v>697</v>
      </c>
      <c r="C105" s="45">
        <v>149782</v>
      </c>
      <c r="D105" s="45"/>
      <c r="E105" s="45">
        <f>SUM(C105:D105)</f>
        <v>149782</v>
      </c>
      <c r="F105" s="45"/>
      <c r="G105" s="45"/>
      <c r="H105" s="72"/>
      <c r="I105" s="45"/>
      <c r="J105" s="45"/>
      <c r="K105" s="45"/>
      <c r="L105" s="45"/>
      <c r="M105" s="45"/>
      <c r="N105">
        <f>17067+500000+13634</f>
        <v>530701</v>
      </c>
      <c r="P105" s="86">
        <f t="shared" si="5"/>
        <v>530701</v>
      </c>
      <c r="U105" s="86">
        <v>0</v>
      </c>
    </row>
    <row r="106" spans="1:21" ht="15.5" x14ac:dyDescent="0.35">
      <c r="A106" s="7" t="s">
        <v>698</v>
      </c>
      <c r="B106" s="13" t="s">
        <v>489</v>
      </c>
      <c r="C106" s="64">
        <f>SUM(C87:C105)</f>
        <v>6543210</v>
      </c>
      <c r="D106" s="64"/>
      <c r="E106" s="45">
        <f>SUM(C106:D106)</f>
        <v>6543210</v>
      </c>
      <c r="F106" s="64"/>
      <c r="G106" s="64">
        <f>SUM(G87:G105)</f>
        <v>5368333.5999999996</v>
      </c>
      <c r="H106" s="72">
        <f>SUM(H87:H105)</f>
        <v>300000</v>
      </c>
      <c r="I106" s="64">
        <f>SUM(G106:H106)</f>
        <v>5668333.5999999996</v>
      </c>
      <c r="J106" s="64">
        <f>SUM(J87:J105)</f>
        <v>3426842</v>
      </c>
      <c r="K106" s="64">
        <f>SUM(K87:K105)</f>
        <v>5475084</v>
      </c>
      <c r="L106" s="64"/>
      <c r="M106" s="64">
        <f>SUM(M87:M105)</f>
        <v>5696025.7000000002</v>
      </c>
      <c r="N106">
        <f>SUM(N87:N105)</f>
        <v>830701</v>
      </c>
      <c r="P106" s="86">
        <f t="shared" si="5"/>
        <v>6526726.7000000002</v>
      </c>
      <c r="U106" s="101">
        <f>SUM(U87:U105)</f>
        <v>5696025.7000000002</v>
      </c>
    </row>
    <row r="107" spans="1:21" ht="15.5" x14ac:dyDescent="0.35">
      <c r="A107" s="7"/>
      <c r="B107" s="13"/>
      <c r="C107" s="64"/>
      <c r="D107" s="64"/>
      <c r="E107" s="45"/>
      <c r="F107" s="64"/>
      <c r="G107" s="64"/>
      <c r="H107" s="72"/>
      <c r="I107" s="64"/>
      <c r="J107" s="64"/>
      <c r="K107" s="64"/>
      <c r="P107" s="86"/>
    </row>
    <row r="108" spans="1:21" ht="15.5" x14ac:dyDescent="0.35">
      <c r="A108" s="13" t="s">
        <v>699</v>
      </c>
      <c r="B108" s="14"/>
      <c r="C108" s="79" t="s">
        <v>637</v>
      </c>
      <c r="D108" s="64"/>
      <c r="E108" s="80" t="s">
        <v>700</v>
      </c>
      <c r="F108" s="64"/>
      <c r="G108" s="19" t="s">
        <v>638</v>
      </c>
      <c r="H108" s="45"/>
      <c r="I108" s="19"/>
      <c r="J108" s="19"/>
      <c r="K108" s="19"/>
      <c r="P108" s="86"/>
    </row>
    <row r="109" spans="1:21" ht="15.5" x14ac:dyDescent="0.35">
      <c r="A109" s="7"/>
      <c r="B109" s="13"/>
      <c r="C109" s="64"/>
      <c r="D109" s="64"/>
      <c r="E109" s="45"/>
      <c r="F109" s="64"/>
      <c r="G109" s="64"/>
      <c r="H109" s="64"/>
      <c r="I109" s="64"/>
      <c r="J109" s="64"/>
      <c r="K109" s="64"/>
      <c r="P109" s="86"/>
    </row>
    <row r="110" spans="1:21" ht="15.5" x14ac:dyDescent="0.35">
      <c r="A110" s="7" t="s">
        <v>701</v>
      </c>
      <c r="B110" s="7" t="s">
        <v>702</v>
      </c>
      <c r="C110" s="79">
        <v>0</v>
      </c>
      <c r="D110" s="79"/>
      <c r="E110" s="81"/>
      <c r="F110" s="64"/>
      <c r="G110" s="59">
        <v>650000</v>
      </c>
      <c r="H110" s="64">
        <v>0</v>
      </c>
      <c r="I110" s="59">
        <f>SUM(G110:H110)</f>
        <v>650000</v>
      </c>
      <c r="J110" s="59"/>
      <c r="K110" s="59">
        <v>0</v>
      </c>
      <c r="L110" s="59"/>
      <c r="M110" s="59">
        <v>0</v>
      </c>
      <c r="P110" s="86">
        <f t="shared" si="5"/>
        <v>0</v>
      </c>
    </row>
    <row r="111" spans="1:21" x14ac:dyDescent="0.35">
      <c r="A111" s="2" t="s">
        <v>703</v>
      </c>
      <c r="B111" s="2" t="s">
        <v>704</v>
      </c>
      <c r="C111" s="59"/>
      <c r="D111" s="59"/>
      <c r="E111" s="82"/>
      <c r="F111" s="59"/>
      <c r="G111" s="59">
        <v>2400000</v>
      </c>
      <c r="H111" s="19">
        <v>0</v>
      </c>
      <c r="I111" s="59">
        <f>SUM(G111:H111)</f>
        <v>2400000</v>
      </c>
      <c r="J111" s="59">
        <v>0</v>
      </c>
      <c r="K111" s="59">
        <v>0</v>
      </c>
      <c r="L111" s="59"/>
      <c r="M111" s="59">
        <v>0</v>
      </c>
      <c r="P111" s="86">
        <f t="shared" si="5"/>
        <v>0</v>
      </c>
    </row>
    <row r="112" spans="1:21" ht="15.5" x14ac:dyDescent="0.35">
      <c r="A112" s="13" t="s">
        <v>705</v>
      </c>
      <c r="B112" s="13"/>
      <c r="C112" s="79"/>
      <c r="D112" s="79"/>
      <c r="E112" s="81">
        <f>SUM(E110:E111)</f>
        <v>0</v>
      </c>
      <c r="F112" s="64"/>
      <c r="G112" s="64">
        <f>SUM(G110:G111)</f>
        <v>3050000</v>
      </c>
      <c r="H112" s="64">
        <f>SUM(H110:H111)</f>
        <v>0</v>
      </c>
      <c r="I112" s="64">
        <f>SUM(I110:I111)</f>
        <v>3050000</v>
      </c>
      <c r="J112" s="64">
        <f>SUM(J110:J111)</f>
        <v>0</v>
      </c>
      <c r="K112" s="64">
        <f>SUM(K110:K111)</f>
        <v>0</v>
      </c>
      <c r="L112" s="64"/>
      <c r="M112" s="64">
        <f>SUM(M110:M111)</f>
        <v>0</v>
      </c>
      <c r="N112">
        <v>0</v>
      </c>
      <c r="P112" s="86">
        <f t="shared" si="5"/>
        <v>0</v>
      </c>
      <c r="U112">
        <v>0</v>
      </c>
    </row>
    <row r="113" spans="1:21" ht="15.5" x14ac:dyDescent="0.35">
      <c r="A113" s="13"/>
      <c r="B113" s="13"/>
      <c r="C113" s="79"/>
      <c r="D113" s="79"/>
      <c r="E113" s="81"/>
      <c r="F113" s="64"/>
      <c r="G113" s="64"/>
      <c r="H113" s="59"/>
      <c r="I113" s="64"/>
      <c r="J113" s="64"/>
      <c r="K113" s="64"/>
      <c r="P113" s="86"/>
    </row>
    <row r="114" spans="1:21" ht="15.5" x14ac:dyDescent="0.35">
      <c r="A114" s="13"/>
      <c r="B114" s="13"/>
      <c r="C114" s="79"/>
      <c r="D114" s="79"/>
      <c r="E114" s="81"/>
      <c r="F114" s="64"/>
      <c r="G114" s="64"/>
      <c r="H114" s="59"/>
      <c r="I114" s="64"/>
      <c r="J114" s="64"/>
      <c r="K114" s="64"/>
      <c r="P114" s="86"/>
    </row>
    <row r="115" spans="1:21" ht="15.5" x14ac:dyDescent="0.35">
      <c r="A115" s="13" t="s">
        <v>706</v>
      </c>
      <c r="B115" s="13"/>
      <c r="C115" s="79"/>
      <c r="D115" s="79"/>
      <c r="E115" s="81"/>
      <c r="F115" s="64"/>
      <c r="G115" s="64">
        <f>G106+G112</f>
        <v>8418333.5999999996</v>
      </c>
      <c r="H115" s="64">
        <f>H106+H112</f>
        <v>300000</v>
      </c>
      <c r="I115" s="64">
        <f>SUM(G115:H115)</f>
        <v>8718333.5999999996</v>
      </c>
      <c r="J115" s="64">
        <f>J106+J112</f>
        <v>3426842</v>
      </c>
      <c r="K115" s="64">
        <f>K106+K112</f>
        <v>5475084</v>
      </c>
      <c r="L115" s="64"/>
      <c r="M115" s="64">
        <f>M106+M112</f>
        <v>5696025.7000000002</v>
      </c>
      <c r="N115">
        <f>N106+N84+N78+N67+N62</f>
        <v>830701</v>
      </c>
      <c r="P115" s="86">
        <f t="shared" si="5"/>
        <v>6526726.7000000002</v>
      </c>
      <c r="U115">
        <v>0</v>
      </c>
    </row>
    <row r="116" spans="1:21" ht="15.5" x14ac:dyDescent="0.35">
      <c r="A116" s="13"/>
      <c r="B116" s="13"/>
      <c r="C116" s="79"/>
      <c r="D116" s="79"/>
      <c r="E116" s="81"/>
      <c r="F116" s="64"/>
      <c r="G116" s="64"/>
      <c r="H116" s="64"/>
      <c r="I116" s="64"/>
      <c r="J116" s="64"/>
      <c r="K116" s="64"/>
    </row>
    <row r="117" spans="1:21" ht="15.5" x14ac:dyDescent="0.35">
      <c r="A117" s="13"/>
      <c r="B117" s="13"/>
      <c r="C117" s="79"/>
      <c r="D117" s="79"/>
      <c r="E117" s="81"/>
      <c r="F117" s="64"/>
      <c r="G117" s="64"/>
      <c r="H117" s="64"/>
      <c r="I117" s="64"/>
      <c r="J117" s="64"/>
      <c r="K117" s="64"/>
    </row>
    <row r="118" spans="1:21" ht="15.5" x14ac:dyDescent="0.35">
      <c r="A118" s="13"/>
      <c r="B118" s="13"/>
      <c r="C118" s="79"/>
      <c r="D118" s="79"/>
      <c r="E118" s="81"/>
      <c r="F118" s="64"/>
      <c r="G118" s="64"/>
      <c r="H118" s="64"/>
      <c r="I118" s="64"/>
      <c r="J118" s="64"/>
      <c r="K118" s="64"/>
    </row>
    <row r="119" spans="1:21" ht="15.5" x14ac:dyDescent="0.35">
      <c r="A119" s="7"/>
      <c r="B119" s="13"/>
      <c r="C119" s="64"/>
      <c r="D119" s="64"/>
      <c r="E119" s="45"/>
      <c r="F119" s="64"/>
      <c r="G119" s="64"/>
      <c r="H119" s="64"/>
      <c r="I119" s="64"/>
      <c r="J119" s="64"/>
      <c r="K119" s="64"/>
    </row>
    <row r="120" spans="1:21" ht="15.5" x14ac:dyDescent="0.35">
      <c r="C120" s="61"/>
      <c r="D120" s="61"/>
      <c r="E120" s="61"/>
      <c r="F120" s="61"/>
      <c r="G120" s="61"/>
      <c r="H120" s="64"/>
      <c r="I120" s="61"/>
      <c r="J120" s="61"/>
      <c r="K120" s="61"/>
    </row>
    <row r="121" spans="1:21" ht="15.5" x14ac:dyDescent="0.35">
      <c r="A121" s="13" t="s">
        <v>492</v>
      </c>
      <c r="B121" s="5"/>
      <c r="C121" s="19" t="s">
        <v>637</v>
      </c>
      <c r="D121" s="19"/>
      <c r="E121" s="19"/>
      <c r="F121" s="19" t="s">
        <v>508</v>
      </c>
      <c r="G121" s="19"/>
      <c r="H121" s="64"/>
      <c r="I121" s="19"/>
      <c r="J121" s="19"/>
      <c r="K121" s="19"/>
    </row>
    <row r="122" spans="1:21" ht="15.5" x14ac:dyDescent="0.35">
      <c r="A122" s="7" t="s">
        <v>707</v>
      </c>
      <c r="B122" t="s">
        <v>708</v>
      </c>
      <c r="C122" s="74">
        <v>0</v>
      </c>
      <c r="D122" s="74"/>
      <c r="E122" s="74">
        <f>SUM(C122:D122)</f>
        <v>0</v>
      </c>
      <c r="F122" s="45"/>
      <c r="G122" s="45">
        <v>0</v>
      </c>
      <c r="H122" s="64"/>
      <c r="I122" s="45"/>
      <c r="J122" s="45"/>
      <c r="K122" s="45">
        <v>0</v>
      </c>
      <c r="L122" s="45"/>
      <c r="M122" s="45">
        <v>0</v>
      </c>
    </row>
    <row r="123" spans="1:21" x14ac:dyDescent="0.35">
      <c r="A123" s="7" t="s">
        <v>709</v>
      </c>
      <c r="B123" t="s">
        <v>652</v>
      </c>
      <c r="C123" s="45">
        <v>0</v>
      </c>
      <c r="D123" s="45"/>
      <c r="E123" s="74">
        <f>SUM(C123:D123)</f>
        <v>0</v>
      </c>
      <c r="F123" s="45"/>
      <c r="G123" s="45">
        <v>0</v>
      </c>
      <c r="H123" s="61"/>
      <c r="I123" s="45"/>
      <c r="J123" s="45">
        <v>3403</v>
      </c>
      <c r="K123" s="45">
        <v>0</v>
      </c>
      <c r="L123" s="45"/>
      <c r="M123" s="45">
        <v>0</v>
      </c>
    </row>
    <row r="124" spans="1:21" x14ac:dyDescent="0.35">
      <c r="A124" s="7" t="s">
        <v>710</v>
      </c>
      <c r="B124" t="s">
        <v>606</v>
      </c>
      <c r="C124" s="45">
        <v>0</v>
      </c>
      <c r="D124" s="45"/>
      <c r="E124" s="74">
        <f>SUM(C124:D124)</f>
        <v>0</v>
      </c>
      <c r="F124" s="45"/>
      <c r="G124" s="45">
        <v>0</v>
      </c>
      <c r="H124" s="19"/>
      <c r="I124" s="45"/>
      <c r="J124" s="45"/>
      <c r="K124" s="45"/>
      <c r="L124" s="45"/>
      <c r="M124" s="45"/>
    </row>
    <row r="125" spans="1:21" ht="15.5" x14ac:dyDescent="0.35">
      <c r="A125" s="13" t="s">
        <v>492</v>
      </c>
      <c r="B125" s="11"/>
      <c r="C125" s="64">
        <f>SUM(C122:C124)</f>
        <v>0</v>
      </c>
      <c r="D125" s="64"/>
      <c r="E125" s="74">
        <f>SUM(C125:D125)</f>
        <v>0</v>
      </c>
      <c r="F125" s="64"/>
      <c r="G125" s="64">
        <f>SUM(G122:G124)</f>
        <v>0</v>
      </c>
      <c r="H125" s="45"/>
      <c r="I125" s="64"/>
      <c r="J125" s="64">
        <f>SUM(J122:J124)</f>
        <v>3403</v>
      </c>
      <c r="K125" s="64">
        <f>SUM(K123:K124)</f>
        <v>0</v>
      </c>
      <c r="L125" s="64"/>
      <c r="M125" s="64">
        <f>SUM(M123:M124)</f>
        <v>0</v>
      </c>
      <c r="N125">
        <v>0</v>
      </c>
    </row>
    <row r="126" spans="1:21" x14ac:dyDescent="0.35">
      <c r="C126" s="61"/>
      <c r="D126" s="61"/>
      <c r="E126" s="74"/>
      <c r="F126" s="61"/>
      <c r="G126" s="61"/>
      <c r="H126" s="45"/>
      <c r="I126" s="61"/>
      <c r="J126" s="61"/>
      <c r="K126" s="61"/>
    </row>
    <row r="127" spans="1:21" x14ac:dyDescent="0.35">
      <c r="A127" s="7" t="s">
        <v>806</v>
      </c>
      <c r="C127" s="61"/>
      <c r="D127" s="61"/>
      <c r="E127" s="74"/>
      <c r="F127" s="61"/>
      <c r="G127" s="61"/>
      <c r="H127" s="45"/>
      <c r="I127" s="61"/>
      <c r="J127" s="61"/>
      <c r="K127" s="61"/>
      <c r="U127" s="92">
        <f>U47</f>
        <v>10936866.204165</v>
      </c>
    </row>
    <row r="128" spans="1:21" x14ac:dyDescent="0.35">
      <c r="A128" s="7" t="s">
        <v>807</v>
      </c>
      <c r="C128" s="61"/>
      <c r="D128" s="61"/>
      <c r="E128" s="74"/>
      <c r="F128" s="61"/>
      <c r="G128" s="61"/>
      <c r="H128" s="45"/>
      <c r="I128" s="61"/>
      <c r="J128" s="61"/>
      <c r="K128" s="61"/>
      <c r="U128" s="92">
        <f>SUM(U112+U106+U84+U78+U69+U62+U55)</f>
        <v>5995725.7000000002</v>
      </c>
    </row>
    <row r="129" spans="2:21" x14ac:dyDescent="0.35">
      <c r="C129" s="61"/>
      <c r="D129" s="61"/>
      <c r="E129" s="74"/>
      <c r="F129" s="61"/>
      <c r="G129" s="61"/>
      <c r="H129" s="45"/>
      <c r="I129" s="61"/>
      <c r="J129" s="61"/>
      <c r="K129" s="61"/>
      <c r="U129" s="92"/>
    </row>
    <row r="130" spans="2:21" ht="15.5" x14ac:dyDescent="0.35">
      <c r="B130" s="13" t="s">
        <v>711</v>
      </c>
      <c r="C130" s="64">
        <f>C47+C78+C106+C62+C84+C125+C69</f>
        <v>15195317</v>
      </c>
      <c r="D130" s="64">
        <f>D125+D106+D84+D78+D69+D62+D47</f>
        <v>376000</v>
      </c>
      <c r="E130" s="74">
        <f>SUM(C130:D130)</f>
        <v>15571317</v>
      </c>
      <c r="F130" s="64"/>
      <c r="G130" s="64">
        <f>G47+G78+G106+G62+G84+G125+G69+G112</f>
        <v>18330388.429499999</v>
      </c>
      <c r="H130" s="71">
        <f>SUM(H47+H115)</f>
        <v>536300</v>
      </c>
      <c r="I130" s="64">
        <f>SUM(G130:H130)</f>
        <v>18866688.429499999</v>
      </c>
      <c r="J130" s="64">
        <f>J47+J78+J106+J62+J84+J125+J69+J112</f>
        <v>10539073</v>
      </c>
      <c r="K130" s="64">
        <f>K125+K112+K106+K84+K78+K69+K62+K47</f>
        <v>16302996.109099999</v>
      </c>
      <c r="L130" s="64"/>
      <c r="M130" s="64">
        <f>M125+M112+M106+M84+M78+M69+M62+M47</f>
        <v>16608458.199999999</v>
      </c>
      <c r="N130">
        <f>N115+N47</f>
        <v>1757509.5</v>
      </c>
      <c r="P130" s="49">
        <f>SUM(M130:O130)</f>
        <v>18365967.699999999</v>
      </c>
      <c r="U130" s="92">
        <f>SUM(U112+U106+U84+U78+U69+U62+U55+U47)</f>
        <v>16932591.904165</v>
      </c>
    </row>
  </sheetData>
  <printOptions headings="1" gridLines="1"/>
  <pageMargins left="0.7" right="0.7" top="0.75" bottom="0.75" header="0.3" footer="0.3"/>
  <pageSetup paperSize="3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Expenditures</vt:lpstr>
      <vt:lpstr>Revenues</vt:lpstr>
      <vt:lpstr>Expenditures!Print_Area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Roedner</dc:creator>
  <cp:lastModifiedBy>Jill Weston</cp:lastModifiedBy>
  <cp:lastPrinted>2024-03-20T13:30:06Z</cp:lastPrinted>
  <dcterms:created xsi:type="dcterms:W3CDTF">2023-12-18T14:49:00Z</dcterms:created>
  <dcterms:modified xsi:type="dcterms:W3CDTF">2024-04-03T11:52:59Z</dcterms:modified>
</cp:coreProperties>
</file>